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M:\Ministry\Forms Policies Guidelines and Documents\WEBSITE\Shared Website\"/>
    </mc:Choice>
  </mc:AlternateContent>
  <xr:revisionPtr revIDLastSave="0" documentId="8_{4C33BDAE-0D3D-4A3C-A273-DD5A75C9DB49}" xr6:coauthVersionLast="47" xr6:coauthVersionMax="47" xr10:uidLastSave="{00000000-0000-0000-0000-000000000000}"/>
  <bookViews>
    <workbookView xWindow="28680" yWindow="-120" windowWidth="29040" windowHeight="15720" xr2:uid="{23C5E947-8CD2-4ECA-858D-86D15559E635}"/>
  </bookViews>
  <sheets>
    <sheet name="Calculator" sheetId="2" r:id="rId1"/>
    <sheet name="Default Assumption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2" l="1"/>
  <c r="G32" i="2" s="1"/>
  <c r="F30" i="2"/>
  <c r="G30" i="2" s="1"/>
  <c r="C18" i="1" l="1"/>
  <c r="C14" i="1"/>
  <c r="D22" i="2"/>
  <c r="G22" i="2" s="1"/>
  <c r="H22" i="2" s="1"/>
  <c r="D23" i="2"/>
  <c r="G23" i="2" s="1"/>
  <c r="H23" i="2" s="1"/>
  <c r="D21" i="2"/>
  <c r="G21" i="2" s="1"/>
  <c r="H21" i="2" s="1"/>
  <c r="D16" i="2"/>
  <c r="G16" i="2" s="1"/>
  <c r="H16" i="2" s="1"/>
  <c r="G18" i="2"/>
  <c r="D31" i="2"/>
  <c r="G31" i="2" s="1"/>
  <c r="H31" i="2" s="1"/>
  <c r="D32" i="2"/>
  <c r="H32" i="2" s="1"/>
  <c r="D30" i="2"/>
  <c r="H30" i="2" s="1"/>
  <c r="D27" i="2"/>
  <c r="D15" i="2"/>
  <c r="G15" i="2" s="1"/>
  <c r="H15" i="2" s="1"/>
  <c r="D26" i="2"/>
  <c r="G26" i="2" s="1"/>
  <c r="D25" i="2"/>
  <c r="G25" i="2" s="1"/>
  <c r="D24" i="2"/>
  <c r="G24" i="2" s="1"/>
  <c r="G27" i="2" l="1"/>
  <c r="H26" i="2"/>
  <c r="H25" i="2"/>
  <c r="D17" i="2"/>
  <c r="G17" i="2" s="1"/>
  <c r="H17" i="2" s="1"/>
  <c r="H18" i="2"/>
  <c r="H33" i="2"/>
  <c r="G33" i="2"/>
  <c r="H24" i="2"/>
  <c r="G28" i="2" l="1"/>
  <c r="H27" i="2"/>
  <c r="H28" i="2" s="1"/>
  <c r="H19" i="2"/>
  <c r="G19" i="2"/>
  <c r="G35" i="2" l="1"/>
  <c r="H35" i="2"/>
</calcChain>
</file>

<file path=xl/sharedStrings.xml><?xml version="1.0" encoding="utf-8"?>
<sst xmlns="http://schemas.openxmlformats.org/spreadsheetml/2006/main" count="123" uniqueCount="75">
  <si>
    <t>Council Tax</t>
  </si>
  <si>
    <t>Stipend</t>
  </si>
  <si>
    <t>Default Assumption</t>
  </si>
  <si>
    <t>Overwrite possible?</t>
  </si>
  <si>
    <t>Y</t>
  </si>
  <si>
    <t>Housing Allowance</t>
  </si>
  <si>
    <t>Manse Value</t>
  </si>
  <si>
    <t>Water bill</t>
  </si>
  <si>
    <t>Phone and broadband</t>
  </si>
  <si>
    <t>Minister's expenses</t>
  </si>
  <si>
    <t>Employers' pension contributions</t>
  </si>
  <si>
    <t>Basis of default</t>
  </si>
  <si>
    <t>Source</t>
  </si>
  <si>
    <t>www.baptist.org.uk/financialguidance</t>
  </si>
  <si>
    <t>Estimated UK average</t>
  </si>
  <si>
    <t>Ministers Section of Baptist Pension Scheme</t>
  </si>
  <si>
    <t>https://www.baptistpensions.org.uk/churches-employers/how-the-scheme-works/how-much-does-it-cost/</t>
  </si>
  <si>
    <t>National Insurance Secondary Threshold</t>
  </si>
  <si>
    <t>N</t>
  </si>
  <si>
    <t>Assumptions</t>
  </si>
  <si>
    <t>Manse</t>
  </si>
  <si>
    <t>Cost Estimates</t>
  </si>
  <si>
    <t>Employers Pension</t>
  </si>
  <si>
    <t>National Insurance</t>
  </si>
  <si>
    <t>Manse Costs</t>
  </si>
  <si>
    <t>Payroll Costs</t>
  </si>
  <si>
    <t>Energy Bills</t>
  </si>
  <si>
    <t>Is Your Minister Full Time?</t>
  </si>
  <si>
    <t>If Part Time, what percentage of full time hours</t>
  </si>
  <si>
    <t>Yes</t>
  </si>
  <si>
    <t>Total Payroll Costs</t>
  </si>
  <si>
    <t>Total Manse Costs</t>
  </si>
  <si>
    <t>Other Costs</t>
  </si>
  <si>
    <t>Mobile Phone</t>
  </si>
  <si>
    <t>Minister's expenses (travel etc)</t>
  </si>
  <si>
    <t>Check eligibility at</t>
  </si>
  <si>
    <t>https://www.gov.uk/claim-employment-allowance</t>
  </si>
  <si>
    <t>Manse maintenance</t>
  </si>
  <si>
    <t>Maintenance</t>
  </si>
  <si>
    <t>Custom Assumption</t>
  </si>
  <si>
    <t>Total Other Costs</t>
  </si>
  <si>
    <t>Total Costs</t>
  </si>
  <si>
    <t>Per year</t>
  </si>
  <si>
    <t>Per month</t>
  </si>
  <si>
    <t>Default assumption</t>
  </si>
  <si>
    <t>How is Housing provided?</t>
  </si>
  <si>
    <t>If Manse, does church cover energy bills?</t>
  </si>
  <si>
    <t>Is the church eligible for the Employment Allowance?</t>
  </si>
  <si>
    <t>Energy bills</t>
  </si>
  <si>
    <t>Use default assumption?</t>
  </si>
  <si>
    <t>Continuing Ministerial Development and training</t>
  </si>
  <si>
    <t>Baptists Together recommendation</t>
  </si>
  <si>
    <t>Cost Item</t>
  </si>
  <si>
    <t>If Manse, is it owned or leased</t>
  </si>
  <si>
    <t>Owned</t>
  </si>
  <si>
    <t>Manse Lease</t>
  </si>
  <si>
    <t>Leasing cost for Manse</t>
  </si>
  <si>
    <t>Buildings Insurance</t>
  </si>
  <si>
    <t>Estimate of total housing costs</t>
  </si>
  <si>
    <t>Employers National Insurance Rate</t>
  </si>
  <si>
    <t>UK average band D Council Tax</t>
  </si>
  <si>
    <t>Please note that these assumptions are not editable.  Should you wish to use different assumptions in your calculation, please select "N" under "Use Default Assumption?" in the Calculator, and enter your own figure under "Custom assumption".</t>
  </si>
  <si>
    <t>Baptist Together Standard Stipend for 2024</t>
  </si>
  <si>
    <t>UK tax rates for 2023/24</t>
  </si>
  <si>
    <t>Baptist Pension Scheme Manse Value for 2024 (NB - will increase by inflation)</t>
  </si>
  <si>
    <t>Median 4-bed rent for UK to March 2023</t>
  </si>
  <si>
    <t>Private rental market summary statistics in England - Office for National Statistics (ons.gov.uk)</t>
  </si>
  <si>
    <t>Rates and thresholds for employers 2023 to 2024 - GOV.UK (www.gov.uk)</t>
  </si>
  <si>
    <t>Home contents and buildings insurance | unbiased.co.uk</t>
  </si>
  <si>
    <t>Council Tax levels set by local authorities in England 2023 to 2024 (revised) - GOV.UK (www.gov.uk)</t>
  </si>
  <si>
    <t>What is the average water bill in the UK? - Look After My Bills</t>
  </si>
  <si>
    <t>Average broadband costs | 2023 costs explained! (aquaswitch.co.uk)</t>
  </si>
  <si>
    <t>Typical UK Energy Bills Explained 2023 | EDF (edfenergy.com)</t>
  </si>
  <si>
    <t>Cost of Ministry Calculator 2024</t>
  </si>
  <si>
    <r>
      <t xml:space="preserve">Inputs - complete all </t>
    </r>
    <r>
      <rPr>
        <b/>
        <sz val="11"/>
        <color rgb="FFFFC000"/>
        <rFont val="Tahoma"/>
        <family val="2"/>
      </rPr>
      <t>orange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</si>
</sst>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11"/>
      <color rgb="FF3F3F76"/>
      <name val="Calibri"/>
      <family val="2"/>
      <scheme val="minor"/>
    </font>
    <font>
      <b/>
      <sz val="11"/>
      <color theme="1"/>
      <name val="Tahoma"/>
      <family val="2"/>
    </font>
    <font>
      <sz val="11"/>
      <color theme="1"/>
      <name val="Tahoma"/>
      <family val="2"/>
    </font>
    <font>
      <b/>
      <sz val="24"/>
      <color theme="1"/>
      <name val="Tahoma"/>
      <family val="2"/>
    </font>
    <font>
      <u/>
      <sz val="11"/>
      <color theme="1"/>
      <name val="Tahoma"/>
      <family val="2"/>
    </font>
    <font>
      <b/>
      <sz val="11"/>
      <color rgb="FFFFC000"/>
      <name val="Tahoma"/>
      <family val="2"/>
    </font>
  </fonts>
  <fills count="4">
    <fill>
      <patternFill patternType="none"/>
    </fill>
    <fill>
      <patternFill patternType="gray125"/>
    </fill>
    <fill>
      <patternFill patternType="solid">
        <fgColor rgb="FFFFCC99"/>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xf numFmtId="0" fontId="3" fillId="2" borderId="1" applyNumberFormat="0" applyAlignment="0" applyProtection="0"/>
  </cellStyleXfs>
  <cellXfs count="36">
    <xf numFmtId="0" fontId="0" fillId="0" borderId="0" xfId="0"/>
    <xf numFmtId="9" fontId="0" fillId="0" borderId="0" xfId="0" applyNumberFormat="1"/>
    <xf numFmtId="0" fontId="2" fillId="0" borderId="0" xfId="1"/>
    <xf numFmtId="0" fontId="1" fillId="0" borderId="0" xfId="0" applyFont="1"/>
    <xf numFmtId="0" fontId="0" fillId="0" borderId="0" xfId="0" applyAlignment="1">
      <alignment wrapText="1"/>
    </xf>
    <xf numFmtId="164" fontId="0" fillId="0" borderId="0" xfId="0" applyNumberFormat="1"/>
    <xf numFmtId="0" fontId="0" fillId="0" borderId="0" xfId="0" applyAlignment="1">
      <alignment horizontal="center"/>
    </xf>
    <xf numFmtId="0" fontId="5"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6" fillId="0" borderId="0" xfId="0" applyFont="1"/>
    <xf numFmtId="0" fontId="5" fillId="0" borderId="6" xfId="0" applyFont="1" applyBorder="1"/>
    <xf numFmtId="0" fontId="4" fillId="0" borderId="0" xfId="0" applyFont="1"/>
    <xf numFmtId="0" fontId="5" fillId="0" borderId="0" xfId="0" applyFont="1" applyAlignment="1">
      <alignment horizontal="center"/>
    </xf>
    <xf numFmtId="164" fontId="5" fillId="0" borderId="0" xfId="0" applyNumberFormat="1" applyFont="1"/>
    <xf numFmtId="164" fontId="4" fillId="0" borderId="0" xfId="0" applyNumberFormat="1" applyFont="1"/>
    <xf numFmtId="0" fontId="5" fillId="0" borderId="0" xfId="0" applyFont="1" applyAlignment="1">
      <alignment horizontal="left"/>
    </xf>
    <xf numFmtId="0" fontId="5" fillId="0" borderId="7" xfId="0" applyFont="1" applyBorder="1"/>
    <xf numFmtId="0" fontId="5" fillId="0" borderId="8" xfId="0" applyFont="1" applyBorder="1"/>
    <xf numFmtId="0" fontId="5" fillId="0" borderId="9" xfId="0" applyFont="1" applyBorder="1"/>
    <xf numFmtId="0" fontId="5" fillId="0" borderId="5" xfId="0" applyFont="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 xfId="0" applyFont="1" applyBorder="1" applyAlignment="1">
      <alignment wrapText="1"/>
    </xf>
    <xf numFmtId="0" fontId="4" fillId="0" borderId="0" xfId="0" applyFont="1" applyAlignment="1">
      <alignment horizontal="right"/>
    </xf>
    <xf numFmtId="0" fontId="5" fillId="2" borderId="0" xfId="2" applyFont="1" applyBorder="1" applyAlignment="1" applyProtection="1">
      <alignment horizontal="center"/>
      <protection locked="0"/>
    </xf>
    <xf numFmtId="9" fontId="5" fillId="2" borderId="0" xfId="2" applyNumberFormat="1" applyFont="1" applyBorder="1" applyAlignment="1" applyProtection="1">
      <alignment horizontal="center"/>
      <protection locked="0"/>
    </xf>
    <xf numFmtId="164" fontId="5" fillId="2" borderId="0" xfId="2" applyNumberFormat="1" applyFont="1" applyBorder="1" applyProtection="1">
      <protection locked="0"/>
    </xf>
    <xf numFmtId="0" fontId="1" fillId="0" borderId="0" xfId="0" applyFont="1" applyAlignment="1">
      <alignment vertical="top" wrapText="1"/>
    </xf>
    <xf numFmtId="10" fontId="0" fillId="0" borderId="0" xfId="0" applyNumberFormat="1"/>
    <xf numFmtId="0" fontId="5" fillId="3" borderId="0" xfId="2" applyFont="1" applyFill="1" applyBorder="1" applyAlignment="1" applyProtection="1">
      <alignment horizontal="center"/>
      <protection locked="0"/>
    </xf>
    <xf numFmtId="9" fontId="5" fillId="3" borderId="0" xfId="2" applyNumberFormat="1" applyFont="1" applyFill="1" applyBorder="1" applyAlignment="1" applyProtection="1">
      <alignment horizontal="center"/>
      <protection locked="0"/>
    </xf>
    <xf numFmtId="0" fontId="7" fillId="0" borderId="0" xfId="1" applyFont="1" applyBorder="1" applyAlignment="1" applyProtection="1">
      <alignment horizontal="left"/>
    </xf>
    <xf numFmtId="0" fontId="0" fillId="0" borderId="0" xfId="0" applyAlignment="1">
      <alignment horizontal="left"/>
    </xf>
  </cellXfs>
  <cellStyles count="3">
    <cellStyle name="Hyperlink" xfId="1" builtinId="8"/>
    <cellStyle name="Input" xfId="2" builtinId="20"/>
    <cellStyle name="Normal" xfId="0" builtinId="0"/>
  </cellStyles>
  <dxfs count="13">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bgColor theme="6"/>
        </patternFill>
      </fill>
    </dxf>
    <dxf>
      <font>
        <color theme="6"/>
      </font>
      <fill>
        <patternFill>
          <fgColor theme="6"/>
          <bgColor theme="6"/>
        </patternFill>
      </fill>
    </dxf>
    <dxf>
      <font>
        <color theme="6"/>
      </font>
      <fill>
        <patternFill>
          <bgColor theme="6"/>
        </patternFill>
      </fill>
    </dxf>
    <dxf>
      <alignment horizontal="center" vertical="bottom" textRotation="0" wrapText="0" indent="0" justifyLastLine="0" shrinkToFit="0" readingOrder="0"/>
    </dxf>
    <dxf>
      <numFmt numFmtId="164" formatCode="&quot;£&quot;#,##0"/>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398145</xdr:colOff>
      <xdr:row>1</xdr:row>
      <xdr:rowOff>0</xdr:rowOff>
    </xdr:from>
    <xdr:to>
      <xdr:col>7</xdr:col>
      <xdr:colOff>1074420</xdr:colOff>
      <xdr:row>3</xdr:row>
      <xdr:rowOff>55565</xdr:rowOff>
    </xdr:to>
    <xdr:pic>
      <xdr:nvPicPr>
        <xdr:cNvPr id="2" name="Picture 1" descr="BT logo 1-Colour-cmyk">
          <a:extLst>
            <a:ext uri="{FF2B5EF4-FFF2-40B4-BE49-F238E27FC236}">
              <a16:creationId xmlns:a16="http://schemas.microsoft.com/office/drawing/2014/main" id="{DE388D39-C16F-4233-BB29-32ADD026AB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0020" y="171450"/>
          <a:ext cx="1897380" cy="598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3395C6-D9B2-4E71-AFE0-4EEB985E70FA}" name="Table1" displayName="Table1" ref="B2:F18" totalsRowShown="0" headerRowDxfId="12">
  <autoFilter ref="B2:F18" xr:uid="{B88BF3D3-0D26-4A68-A01B-F1C6094CCD8D}"/>
  <tableColumns count="5">
    <tableColumn id="1" xr3:uid="{B465DA9E-9006-42A8-A6F0-C330AC42C0F2}" name="Cost Item"/>
    <tableColumn id="2" xr3:uid="{73BB0C5F-25D5-4EC5-9070-322425C05EB6}" name="Default Assumption" dataDxfId="11"/>
    <tableColumn id="3" xr3:uid="{0C53D4CA-A271-43C1-8391-26228C21CABE}" name="Overwrite possible?" dataDxfId="10"/>
    <tableColumn id="4" xr3:uid="{6FB436AA-4FFC-4910-A307-B121E04FDA3B}" name="Basis of default"/>
    <tableColumn id="5" xr3:uid="{6A21EB8C-93D8-4B5B-9822-FDBED2951B55}" name="Source" dataCellStyle="Hyperlink"/>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claim-employment-allowanc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lookaftermybills.com/water/what-is-the-average-water-bill-in-the-uk/" TargetMode="External"/><Relationship Id="rId13" Type="http://schemas.openxmlformats.org/officeDocument/2006/relationships/hyperlink" Target="https://www.ons.gov.uk/peoplepopulationandcommunity/housing/bulletins/privaterentalmarketsummarystatisticsinengland/april2022tomarch2023" TargetMode="External"/><Relationship Id="rId3" Type="http://schemas.openxmlformats.org/officeDocument/2006/relationships/hyperlink" Target="https://www.baptistpensions.org.uk/churches-employers/how-the-scheme-works/how-much-does-it-cost/" TargetMode="External"/><Relationship Id="rId7" Type="http://schemas.openxmlformats.org/officeDocument/2006/relationships/hyperlink" Target="https://www.gov.uk/government/statistics/council-tax-levels-set-by-local-authorities-in-england-2023-to-2024/council-tax-levels-set-by-local-authorities-in-england-2023-to-2024" TargetMode="External"/><Relationship Id="rId12" Type="http://schemas.openxmlformats.org/officeDocument/2006/relationships/hyperlink" Target="https://www.unbiased.co.uk/discover/mortgages-property/ownership-improvements/how-much-is-home-insurance-on-average-and-what-does-it-cover" TargetMode="External"/><Relationship Id="rId2" Type="http://schemas.openxmlformats.org/officeDocument/2006/relationships/hyperlink" Target="http://www.baptist.org.uk/financialguidance" TargetMode="External"/><Relationship Id="rId1" Type="http://schemas.openxmlformats.org/officeDocument/2006/relationships/hyperlink" Target="http://www.baptist.org.uk/financialguidance" TargetMode="External"/><Relationship Id="rId6" Type="http://schemas.openxmlformats.org/officeDocument/2006/relationships/hyperlink" Target="https://www.ons.gov.uk/peoplepopulationandcommunity/housing/bulletins/privaterentalmarketsummarystatisticsinengland/april2022tomarch2023" TargetMode="External"/><Relationship Id="rId11" Type="http://schemas.openxmlformats.org/officeDocument/2006/relationships/hyperlink" Target="https://www.aquaswitch.co.uk/blog/average-broadband-cost/" TargetMode="External"/><Relationship Id="rId5" Type="http://schemas.openxmlformats.org/officeDocument/2006/relationships/hyperlink" Target="https://www.gov.uk/guidance/rates-and-thresholds-for-employers-2023-to-2024" TargetMode="External"/><Relationship Id="rId15" Type="http://schemas.openxmlformats.org/officeDocument/2006/relationships/table" Target="../tables/table1.xml"/><Relationship Id="rId10" Type="http://schemas.openxmlformats.org/officeDocument/2006/relationships/hyperlink" Target="https://www.aquaswitch.co.uk/blog/average-broadband-cost/" TargetMode="External"/><Relationship Id="rId4" Type="http://schemas.openxmlformats.org/officeDocument/2006/relationships/hyperlink" Target="https://www.gov.uk/guidance/rates-and-thresholds-for-employers-2023-to-2024" TargetMode="External"/><Relationship Id="rId9" Type="http://schemas.openxmlformats.org/officeDocument/2006/relationships/hyperlink" Target="https://www.edfenergy.com/energywise/what-is-the-average-energy-bill-in-the-uk"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93A5-0DFF-46B8-9715-3344A46E1E58}">
  <sheetPr>
    <pageSetUpPr fitToPage="1"/>
  </sheetPr>
  <dimension ref="A1:I36"/>
  <sheetViews>
    <sheetView showGridLines="0" tabSelected="1" zoomScaleNormal="100" workbookViewId="0">
      <selection activeCell="D8" sqref="D8"/>
    </sheetView>
  </sheetViews>
  <sheetFormatPr defaultColWidth="8.84375" defaultRowHeight="13.75" x14ac:dyDescent="0.3"/>
  <cols>
    <col min="1" max="1" width="2.3046875" style="7" customWidth="1"/>
    <col min="2" max="2" width="4.3046875" style="7" customWidth="1"/>
    <col min="3" max="3" width="47" style="7" customWidth="1"/>
    <col min="4" max="8" width="16.15234375" style="7" customWidth="1"/>
    <col min="9" max="9" width="2.3046875" style="7" customWidth="1"/>
    <col min="10" max="16384" width="8.84375" style="7"/>
  </cols>
  <sheetData>
    <row r="1" spans="1:9" x14ac:dyDescent="0.3">
      <c r="A1" s="8"/>
      <c r="B1" s="9"/>
      <c r="C1" s="9"/>
      <c r="D1" s="9"/>
      <c r="E1" s="9"/>
      <c r="F1" s="9"/>
      <c r="G1" s="9"/>
      <c r="H1" s="9"/>
      <c r="I1" s="10"/>
    </row>
    <row r="2" spans="1:9" ht="29.6" x14ac:dyDescent="0.65">
      <c r="A2" s="11"/>
      <c r="B2" s="12" t="s">
        <v>73</v>
      </c>
      <c r="H2"/>
      <c r="I2" s="13"/>
    </row>
    <row r="3" spans="1:9" x14ac:dyDescent="0.3">
      <c r="A3" s="11"/>
      <c r="I3" s="13"/>
    </row>
    <row r="4" spans="1:9" x14ac:dyDescent="0.3">
      <c r="A4" s="11"/>
      <c r="B4" s="14" t="s">
        <v>74</v>
      </c>
      <c r="I4" s="13"/>
    </row>
    <row r="5" spans="1:9" x14ac:dyDescent="0.3">
      <c r="A5" s="11"/>
      <c r="C5" s="7" t="s">
        <v>27</v>
      </c>
      <c r="D5" s="32" t="s">
        <v>29</v>
      </c>
      <c r="I5" s="13"/>
    </row>
    <row r="6" spans="1:9" x14ac:dyDescent="0.3">
      <c r="A6" s="11"/>
      <c r="C6" s="7" t="s">
        <v>28</v>
      </c>
      <c r="D6" s="28">
        <v>0.5</v>
      </c>
      <c r="I6" s="13"/>
    </row>
    <row r="7" spans="1:9" x14ac:dyDescent="0.3">
      <c r="A7" s="11"/>
      <c r="C7" s="7" t="s">
        <v>45</v>
      </c>
      <c r="D7" s="32" t="s">
        <v>20</v>
      </c>
      <c r="I7" s="13"/>
    </row>
    <row r="8" spans="1:9" x14ac:dyDescent="0.3">
      <c r="A8" s="11"/>
      <c r="C8" s="7" t="s">
        <v>53</v>
      </c>
      <c r="D8" s="32" t="s">
        <v>54</v>
      </c>
      <c r="I8" s="13"/>
    </row>
    <row r="9" spans="1:9" x14ac:dyDescent="0.3">
      <c r="A9" s="11"/>
      <c r="C9" s="7" t="s">
        <v>46</v>
      </c>
      <c r="D9" s="33" t="s">
        <v>29</v>
      </c>
      <c r="I9" s="13"/>
    </row>
    <row r="10" spans="1:9" x14ac:dyDescent="0.3">
      <c r="A10" s="11"/>
      <c r="C10" s="7" t="s">
        <v>47</v>
      </c>
      <c r="D10" s="32" t="s">
        <v>29</v>
      </c>
      <c r="E10" s="15" t="s">
        <v>35</v>
      </c>
      <c r="F10" s="34" t="s">
        <v>36</v>
      </c>
      <c r="G10" s="34"/>
      <c r="H10" s="34"/>
      <c r="I10" s="13"/>
    </row>
    <row r="11" spans="1:9" x14ac:dyDescent="0.3">
      <c r="A11" s="11"/>
      <c r="D11" s="15"/>
      <c r="I11" s="13"/>
    </row>
    <row r="12" spans="1:9" x14ac:dyDescent="0.3">
      <c r="A12" s="11"/>
      <c r="B12" s="14" t="s">
        <v>21</v>
      </c>
      <c r="I12" s="13"/>
    </row>
    <row r="13" spans="1:9" s="23" customFormat="1" ht="27.45" x14ac:dyDescent="0.3">
      <c r="A13" s="22"/>
      <c r="D13" s="24" t="s">
        <v>44</v>
      </c>
      <c r="E13" s="24" t="s">
        <v>49</v>
      </c>
      <c r="F13" s="24" t="s">
        <v>39</v>
      </c>
      <c r="G13" s="24" t="s">
        <v>42</v>
      </c>
      <c r="H13" s="24" t="s">
        <v>43</v>
      </c>
      <c r="I13" s="25"/>
    </row>
    <row r="14" spans="1:9" x14ac:dyDescent="0.3">
      <c r="A14" s="11"/>
      <c r="C14" s="14" t="s">
        <v>25</v>
      </c>
      <c r="D14" s="15"/>
      <c r="I14" s="13"/>
    </row>
    <row r="15" spans="1:9" x14ac:dyDescent="0.3">
      <c r="A15" s="11"/>
      <c r="C15" s="7" t="s">
        <v>1</v>
      </c>
      <c r="D15" s="16">
        <f>IF(D5="Yes",'Default Assumptions'!C3,Calculator!D6*'Default Assumptions'!C3)</f>
        <v>28600</v>
      </c>
      <c r="E15" s="32" t="s">
        <v>29</v>
      </c>
      <c r="F15" s="29">
        <v>10000</v>
      </c>
      <c r="G15" s="16">
        <f>IF(E15="Yes",D15,F15)</f>
        <v>28600</v>
      </c>
      <c r="H15" s="16">
        <f>G15/12</f>
        <v>2383.3333333333335</v>
      </c>
      <c r="I15" s="13"/>
    </row>
    <row r="16" spans="1:9" x14ac:dyDescent="0.3">
      <c r="A16" s="11"/>
      <c r="C16" s="7" t="s">
        <v>5</v>
      </c>
      <c r="D16" s="16">
        <f>IF(D7="Manse",0,IF(D5="Yes",'Default Assumptions'!C4,'Default Assumptions'!C4*D6))</f>
        <v>0</v>
      </c>
      <c r="E16" s="32" t="s">
        <v>29</v>
      </c>
      <c r="F16" s="29">
        <v>15600</v>
      </c>
      <c r="G16" s="16">
        <f>IF(E16="Yes",D16,F16)</f>
        <v>0</v>
      </c>
      <c r="H16" s="16">
        <f>G16/12</f>
        <v>0</v>
      </c>
      <c r="I16" s="13"/>
    </row>
    <row r="17" spans="1:9" x14ac:dyDescent="0.3">
      <c r="A17" s="11"/>
      <c r="C17" s="7" t="s">
        <v>22</v>
      </c>
      <c r="D17" s="16">
        <f>MAX(IF(D5="Yes",1,D6)*('Default Assumptions'!C3+'Default Assumptions'!C8),IF(D5="Yes",1,D6)*IF(D7="Manse",(G15+'Default Assumptions'!C8),(G15+G16)))*'Default Assumptions'!C5</f>
        <v>3621.2000000000003</v>
      </c>
      <c r="E17" s="32" t="s">
        <v>29</v>
      </c>
      <c r="F17" s="29">
        <v>3000</v>
      </c>
      <c r="G17" s="16">
        <f>IF(E17="Yes",D17,F17)</f>
        <v>3621.2000000000003</v>
      </c>
      <c r="H17" s="16">
        <f>G17/12</f>
        <v>301.76666666666671</v>
      </c>
      <c r="I17" s="13"/>
    </row>
    <row r="18" spans="1:9" x14ac:dyDescent="0.3">
      <c r="A18" s="11"/>
      <c r="C18" s="7" t="s">
        <v>23</v>
      </c>
      <c r="E18" s="15"/>
      <c r="G18" s="16">
        <f>IF(D10="Yes",0,MAX(0,(G15+G16-'Default Assumptions'!C7))*'Default Assumptions'!C6)</f>
        <v>0</v>
      </c>
      <c r="H18" s="16">
        <f>G18/12</f>
        <v>0</v>
      </c>
      <c r="I18" s="13"/>
    </row>
    <row r="19" spans="1:9" x14ac:dyDescent="0.3">
      <c r="A19" s="11"/>
      <c r="D19" s="17"/>
      <c r="F19" s="26" t="s">
        <v>30</v>
      </c>
      <c r="G19" s="17">
        <f>SUM(G15:G18)</f>
        <v>32221.200000000001</v>
      </c>
      <c r="H19" s="17">
        <f>SUM(H15:H18)</f>
        <v>2685.1000000000004</v>
      </c>
      <c r="I19" s="13"/>
    </row>
    <row r="20" spans="1:9" x14ac:dyDescent="0.3">
      <c r="A20" s="11"/>
      <c r="C20" s="14" t="s">
        <v>24</v>
      </c>
      <c r="I20" s="13"/>
    </row>
    <row r="21" spans="1:9" x14ac:dyDescent="0.3">
      <c r="A21" s="11"/>
      <c r="C21" s="7" t="s">
        <v>55</v>
      </c>
      <c r="D21" s="16">
        <f>IF(AND(D7="Manse",D8="Leased"),'Default Assumptions'!C9,0)</f>
        <v>0</v>
      </c>
      <c r="E21" s="27" t="s">
        <v>29</v>
      </c>
      <c r="F21" s="29">
        <v>2400</v>
      </c>
      <c r="G21" s="16">
        <f>IF(D7="Manse",IF(E21="Yes",D21,F21),0)</f>
        <v>0</v>
      </c>
      <c r="H21" s="16">
        <f t="shared" ref="H21:H27" si="0">G21/12</f>
        <v>0</v>
      </c>
      <c r="I21" s="13"/>
    </row>
    <row r="22" spans="1:9" x14ac:dyDescent="0.3">
      <c r="A22" s="11"/>
      <c r="C22" s="7" t="s">
        <v>38</v>
      </c>
      <c r="D22" s="16">
        <f>IF(AND(D7="Manse",D8="Owned"),'Default Assumptions'!C10,0)</f>
        <v>2000</v>
      </c>
      <c r="E22" s="32" t="s">
        <v>29</v>
      </c>
      <c r="F22" s="29"/>
      <c r="G22" s="16">
        <f>IF(D7="Manse",IF(E22="Yes",D22,F22),0)</f>
        <v>2000</v>
      </c>
      <c r="H22" s="16">
        <f t="shared" si="0"/>
        <v>166.66666666666666</v>
      </c>
      <c r="I22" s="13"/>
    </row>
    <row r="23" spans="1:9" x14ac:dyDescent="0.3">
      <c r="A23" s="11"/>
      <c r="C23" s="7" t="s">
        <v>57</v>
      </c>
      <c r="D23" s="16">
        <f>IF(AND(D7="Manse",D8="Owned"),'Default Assumptions'!C11,0)</f>
        <v>113</v>
      </c>
      <c r="E23" s="32" t="s">
        <v>29</v>
      </c>
      <c r="F23" s="29"/>
      <c r="G23" s="16">
        <f>IF(D7="Manse",IF(E23="Yes",D23,F23),0)</f>
        <v>113</v>
      </c>
      <c r="H23" s="16">
        <f t="shared" si="0"/>
        <v>9.4166666666666661</v>
      </c>
      <c r="I23" s="13"/>
    </row>
    <row r="24" spans="1:9" x14ac:dyDescent="0.3">
      <c r="A24" s="11"/>
      <c r="C24" s="7" t="s">
        <v>0</v>
      </c>
      <c r="D24" s="16">
        <f>IF(D7="Manse",'Default Assumptions'!C12,0)</f>
        <v>2065</v>
      </c>
      <c r="E24" s="32" t="s">
        <v>29</v>
      </c>
      <c r="F24" s="29">
        <v>2065</v>
      </c>
      <c r="G24" s="16">
        <f>IF(D7="Manse",IF(E24="Yes",D24,F24),0)</f>
        <v>2065</v>
      </c>
      <c r="H24" s="16">
        <f t="shared" si="0"/>
        <v>172.08333333333334</v>
      </c>
      <c r="I24" s="13"/>
    </row>
    <row r="25" spans="1:9" x14ac:dyDescent="0.3">
      <c r="A25" s="11"/>
      <c r="C25" s="7" t="s">
        <v>7</v>
      </c>
      <c r="D25" s="16">
        <f>IF(D7="Manse",'Default Assumptions'!C13,0)</f>
        <v>448</v>
      </c>
      <c r="E25" s="32" t="s">
        <v>29</v>
      </c>
      <c r="F25" s="29">
        <v>448</v>
      </c>
      <c r="G25" s="16">
        <f>IF(D7="Manse",IF(E25="Yes",D25,F25),0)</f>
        <v>448</v>
      </c>
      <c r="H25" s="16">
        <f t="shared" si="0"/>
        <v>37.333333333333336</v>
      </c>
      <c r="I25" s="13"/>
    </row>
    <row r="26" spans="1:9" x14ac:dyDescent="0.3">
      <c r="A26" s="11"/>
      <c r="C26" s="7" t="s">
        <v>8</v>
      </c>
      <c r="D26" s="16">
        <f>IF(D7="Manse",'Default Assumptions'!C14,0)</f>
        <v>300</v>
      </c>
      <c r="E26" s="32" t="s">
        <v>29</v>
      </c>
      <c r="F26" s="29">
        <v>300</v>
      </c>
      <c r="G26" s="16">
        <f>IF(D7="Manse",IF(E26="Yes",D26,F26),0)</f>
        <v>300</v>
      </c>
      <c r="H26" s="16">
        <f t="shared" si="0"/>
        <v>25</v>
      </c>
      <c r="I26" s="13"/>
    </row>
    <row r="27" spans="1:9" x14ac:dyDescent="0.3">
      <c r="A27" s="11"/>
      <c r="C27" s="7" t="s">
        <v>48</v>
      </c>
      <c r="D27" s="16">
        <f>IF(AND(D7="Manse",D9="Yes"),'Default Assumptions'!C15,0)</f>
        <v>2100</v>
      </c>
      <c r="E27" s="32" t="s">
        <v>29</v>
      </c>
      <c r="F27" s="29">
        <v>2100</v>
      </c>
      <c r="G27" s="16">
        <f>IF(D7="Manse",IF(E27="Yes",D27,F27),0)</f>
        <v>2100</v>
      </c>
      <c r="H27" s="16">
        <f t="shared" si="0"/>
        <v>175</v>
      </c>
      <c r="I27" s="13"/>
    </row>
    <row r="28" spans="1:9" x14ac:dyDescent="0.3">
      <c r="A28" s="11"/>
      <c r="D28" s="17"/>
      <c r="F28" s="26" t="s">
        <v>31</v>
      </c>
      <c r="G28" s="17">
        <f>SUM(G21:G27)</f>
        <v>7026</v>
      </c>
      <c r="H28" s="17">
        <f>SUM(H21:H27)</f>
        <v>585.5</v>
      </c>
      <c r="I28" s="13"/>
    </row>
    <row r="29" spans="1:9" x14ac:dyDescent="0.3">
      <c r="A29" s="11"/>
      <c r="C29" s="14" t="s">
        <v>32</v>
      </c>
      <c r="I29" s="13"/>
    </row>
    <row r="30" spans="1:9" x14ac:dyDescent="0.3">
      <c r="A30" s="11"/>
      <c r="C30" s="7" t="s">
        <v>34</v>
      </c>
      <c r="D30" s="16">
        <f>'Default Assumptions'!C16</f>
        <v>1800</v>
      </c>
      <c r="E30" s="32" t="s">
        <v>29</v>
      </c>
      <c r="F30" s="29">
        <f>IF($D$5="no",SUM(D30*$D$6),D30)</f>
        <v>1800</v>
      </c>
      <c r="G30" s="16">
        <f>IF($E$30="No",SUM(D30*$D$6),F30)</f>
        <v>1800</v>
      </c>
      <c r="H30" s="16">
        <f>G30/12</f>
        <v>150</v>
      </c>
      <c r="I30" s="13"/>
    </row>
    <row r="31" spans="1:9" x14ac:dyDescent="0.3">
      <c r="A31" s="11"/>
      <c r="C31" s="7" t="s">
        <v>50</v>
      </c>
      <c r="D31" s="16">
        <f>'Default Assumptions'!C17</f>
        <v>500</v>
      </c>
      <c r="E31" s="32" t="s">
        <v>29</v>
      </c>
      <c r="F31" s="29">
        <v>500</v>
      </c>
      <c r="G31" s="16">
        <f>IF(E31="Yes",D31,F31)</f>
        <v>500</v>
      </c>
      <c r="H31" s="16">
        <f>G31/12</f>
        <v>41.666666666666664</v>
      </c>
      <c r="I31" s="13"/>
    </row>
    <row r="32" spans="1:9" x14ac:dyDescent="0.3">
      <c r="A32" s="11"/>
      <c r="C32" s="7" t="s">
        <v>33</v>
      </c>
      <c r="D32" s="16">
        <f>'Default Assumptions'!C18</f>
        <v>300</v>
      </c>
      <c r="E32" s="32" t="s">
        <v>29</v>
      </c>
      <c r="F32" s="29">
        <f>IF($D$5="no",SUM(D32*$D$6),D32)</f>
        <v>300</v>
      </c>
      <c r="G32" s="16">
        <f>IF($E$32="No",SUM(D32*$D$6),F32)</f>
        <v>300</v>
      </c>
      <c r="H32" s="16">
        <f>G32/12</f>
        <v>25</v>
      </c>
      <c r="I32" s="13"/>
    </row>
    <row r="33" spans="1:9" x14ac:dyDescent="0.3">
      <c r="A33" s="11"/>
      <c r="F33" s="26" t="s">
        <v>40</v>
      </c>
      <c r="G33" s="17">
        <f>SUM(G30:G32)</f>
        <v>2600</v>
      </c>
      <c r="H33" s="17">
        <f>SUM(H30:H32)</f>
        <v>216.66666666666666</v>
      </c>
      <c r="I33" s="13"/>
    </row>
    <row r="34" spans="1:9" x14ac:dyDescent="0.3">
      <c r="A34" s="11"/>
      <c r="F34" s="18"/>
      <c r="I34" s="13"/>
    </row>
    <row r="35" spans="1:9" x14ac:dyDescent="0.3">
      <c r="A35" s="11"/>
      <c r="F35" s="26" t="s">
        <v>41</v>
      </c>
      <c r="G35" s="17">
        <f>SUM(G33,G28,G19)</f>
        <v>41847.199999999997</v>
      </c>
      <c r="H35" s="17">
        <f>SUM(H33,H28,H19)</f>
        <v>3487.2666666666669</v>
      </c>
      <c r="I35" s="13"/>
    </row>
    <row r="36" spans="1:9" ht="14.15" thickBot="1" x14ac:dyDescent="0.35">
      <c r="A36" s="19"/>
      <c r="B36" s="20"/>
      <c r="C36" s="20"/>
      <c r="D36" s="20"/>
      <c r="E36" s="20"/>
      <c r="F36" s="20"/>
      <c r="G36" s="20"/>
      <c r="H36" s="20"/>
      <c r="I36" s="21"/>
    </row>
  </sheetData>
  <sheetProtection algorithmName="SHA-512" hashValue="VDVuu8f8oQ9OZkVss0kl5xrA6xn+hlYFBC5uz2DLrFWP7ddxdYEy24O5T7zsW1Npi0qNpqLplOxUUzd82N8HCA==" saltValue="o9hHSJIoxr82KB+xw/pq0A==" spinCount="100000" sheet="1" objects="1" scenarios="1"/>
  <mergeCells count="1">
    <mergeCell ref="F10:H10"/>
  </mergeCells>
  <conditionalFormatting sqref="D6">
    <cfRule type="expression" dxfId="9" priority="22">
      <formula>$D$5="Yes"</formula>
    </cfRule>
  </conditionalFormatting>
  <conditionalFormatting sqref="D8">
    <cfRule type="expression" dxfId="8" priority="2">
      <formula>$D$7="Housing Allowance"</formula>
    </cfRule>
  </conditionalFormatting>
  <conditionalFormatting sqref="D9">
    <cfRule type="expression" dxfId="7" priority="21">
      <formula>$D$7&lt;&gt;"Manse"</formula>
    </cfRule>
  </conditionalFormatting>
  <conditionalFormatting sqref="D21:F21">
    <cfRule type="expression" dxfId="6" priority="1">
      <formula>$D$8="Owned"</formula>
    </cfRule>
  </conditionalFormatting>
  <conditionalFormatting sqref="D21:F27">
    <cfRule type="expression" dxfId="5" priority="4">
      <formula>$D$7&lt;&gt;"Manse"</formula>
    </cfRule>
  </conditionalFormatting>
  <conditionalFormatting sqref="D22:F23">
    <cfRule type="expression" dxfId="4" priority="3">
      <formula>$D$8="Leased"</formula>
    </cfRule>
  </conditionalFormatting>
  <conditionalFormatting sqref="D27:F27">
    <cfRule type="expression" dxfId="3" priority="14">
      <formula>$D$9="No"</formula>
    </cfRule>
  </conditionalFormatting>
  <conditionalFormatting sqref="F15:F17">
    <cfRule type="expression" dxfId="2" priority="19">
      <formula>$E15&lt;&gt;"No"</formula>
    </cfRule>
  </conditionalFormatting>
  <conditionalFormatting sqref="F21:F27">
    <cfRule type="expression" dxfId="1" priority="18">
      <formula>$E21&lt;&gt;"No"</formula>
    </cfRule>
  </conditionalFormatting>
  <conditionalFormatting sqref="F30:F32">
    <cfRule type="expression" dxfId="0" priority="13">
      <formula>$E30&lt;&gt;"No"</formula>
    </cfRule>
  </conditionalFormatting>
  <dataValidations count="3">
    <dataValidation type="list" allowBlank="1" showInputMessage="1" showErrorMessage="1" sqref="D5 D9:D10 E15:E17 E30:E32 E21:E27" xr:uid="{3FF62085-8D7F-412A-A6FE-1BC23FC7498C}">
      <formula1>"Yes,No"</formula1>
    </dataValidation>
    <dataValidation type="list" allowBlank="1" showInputMessage="1" showErrorMessage="1" sqref="D7" xr:uid="{189BEF64-48A2-4AA5-B23F-95536D5BA228}">
      <formula1>"Manse,Housing Allowance"</formula1>
    </dataValidation>
    <dataValidation type="list" allowBlank="1" showInputMessage="1" showErrorMessage="1" sqref="D8" xr:uid="{B40413EE-A556-4161-B967-991A2555CDE0}">
      <formula1>"Owned,Leased"</formula1>
    </dataValidation>
  </dataValidations>
  <hyperlinks>
    <hyperlink ref="F10" r:id="rId1" xr:uid="{9F9473A3-A420-44F9-BCE9-F9AD6DF86642}"/>
  </hyperlinks>
  <pageMargins left="0.7" right="0.7" top="0.75" bottom="0.75" header="0.3" footer="0.3"/>
  <pageSetup paperSize="9" scale="91" orientation="landscape" r:id="rId2"/>
  <ignoredErrors>
    <ignoredError sqref="F32 F30"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5BEB5-27BA-41BF-9AE6-B7F2FB349C49}">
  <dimension ref="A1:F20"/>
  <sheetViews>
    <sheetView zoomScaleNormal="100" workbookViewId="0">
      <selection activeCell="A8" sqref="A8"/>
    </sheetView>
  </sheetViews>
  <sheetFormatPr defaultRowHeight="14.6" x14ac:dyDescent="0.4"/>
  <cols>
    <col min="1" max="1" width="3.3828125" customWidth="1"/>
    <col min="2" max="2" width="43.15234375" bestFit="1" customWidth="1"/>
    <col min="3" max="3" width="12.84375" bestFit="1" customWidth="1"/>
    <col min="4" max="4" width="11.3828125" customWidth="1"/>
    <col min="5" max="5" width="41.3046875" bestFit="1" customWidth="1"/>
    <col min="6" max="6" width="97.84375" customWidth="1"/>
  </cols>
  <sheetData>
    <row r="1" spans="1:6" x14ac:dyDescent="0.4">
      <c r="A1" s="3" t="s">
        <v>19</v>
      </c>
    </row>
    <row r="2" spans="1:6" s="4" customFormat="1" ht="29.15" x14ac:dyDescent="0.4">
      <c r="B2" s="30" t="s">
        <v>52</v>
      </c>
      <c r="C2" s="30" t="s">
        <v>2</v>
      </c>
      <c r="D2" s="30" t="s">
        <v>3</v>
      </c>
      <c r="E2" s="30" t="s">
        <v>11</v>
      </c>
      <c r="F2" s="30" t="s">
        <v>12</v>
      </c>
    </row>
    <row r="3" spans="1:6" x14ac:dyDescent="0.4">
      <c r="B3" t="s">
        <v>1</v>
      </c>
      <c r="C3" s="5">
        <v>28600</v>
      </c>
      <c r="D3" s="6" t="s">
        <v>4</v>
      </c>
      <c r="E3" t="s">
        <v>62</v>
      </c>
      <c r="F3" s="2" t="s">
        <v>13</v>
      </c>
    </row>
    <row r="4" spans="1:6" x14ac:dyDescent="0.4">
      <c r="B4" t="s">
        <v>5</v>
      </c>
      <c r="C4" s="5">
        <v>23000</v>
      </c>
      <c r="D4" s="6" t="s">
        <v>4</v>
      </c>
      <c r="E4" t="s">
        <v>58</v>
      </c>
      <c r="F4" s="2" t="s">
        <v>66</v>
      </c>
    </row>
    <row r="5" spans="1:6" x14ac:dyDescent="0.4">
      <c r="B5" t="s">
        <v>10</v>
      </c>
      <c r="C5" s="1">
        <v>0.1</v>
      </c>
      <c r="D5" s="6" t="s">
        <v>4</v>
      </c>
      <c r="E5" t="s">
        <v>15</v>
      </c>
      <c r="F5" s="2" t="s">
        <v>16</v>
      </c>
    </row>
    <row r="6" spans="1:6" x14ac:dyDescent="0.4">
      <c r="B6" t="s">
        <v>59</v>
      </c>
      <c r="C6" s="31">
        <v>0.15049999999999999</v>
      </c>
      <c r="D6" s="6" t="s">
        <v>18</v>
      </c>
      <c r="E6" t="s">
        <v>63</v>
      </c>
      <c r="F6" s="2" t="s">
        <v>67</v>
      </c>
    </row>
    <row r="7" spans="1:6" x14ac:dyDescent="0.4">
      <c r="B7" t="s">
        <v>17</v>
      </c>
      <c r="C7" s="5">
        <v>9100</v>
      </c>
      <c r="D7" s="6" t="s">
        <v>18</v>
      </c>
      <c r="E7" t="s">
        <v>63</v>
      </c>
      <c r="F7" s="2" t="s">
        <v>67</v>
      </c>
    </row>
    <row r="8" spans="1:6" ht="29.15" x14ac:dyDescent="0.4">
      <c r="B8" t="s">
        <v>6</v>
      </c>
      <c r="C8" s="5">
        <v>7612</v>
      </c>
      <c r="D8" s="6" t="s">
        <v>18</v>
      </c>
      <c r="E8" s="4" t="s">
        <v>64</v>
      </c>
      <c r="F8" s="2" t="s">
        <v>13</v>
      </c>
    </row>
    <row r="9" spans="1:6" x14ac:dyDescent="0.4">
      <c r="B9" t="s">
        <v>56</v>
      </c>
      <c r="C9" s="5">
        <v>18000</v>
      </c>
      <c r="D9" s="6" t="s">
        <v>4</v>
      </c>
      <c r="E9" t="s">
        <v>65</v>
      </c>
      <c r="F9" s="2" t="s">
        <v>66</v>
      </c>
    </row>
    <row r="10" spans="1:6" x14ac:dyDescent="0.4">
      <c r="B10" t="s">
        <v>37</v>
      </c>
      <c r="C10" s="5">
        <v>2000</v>
      </c>
      <c r="D10" s="6" t="s">
        <v>4</v>
      </c>
      <c r="E10" t="s">
        <v>14</v>
      </c>
    </row>
    <row r="11" spans="1:6" x14ac:dyDescent="0.4">
      <c r="B11" t="s">
        <v>57</v>
      </c>
      <c r="C11" s="5">
        <v>113</v>
      </c>
      <c r="D11" s="6" t="s">
        <v>4</v>
      </c>
      <c r="E11" t="s">
        <v>14</v>
      </c>
      <c r="F11" s="2" t="s">
        <v>68</v>
      </c>
    </row>
    <row r="12" spans="1:6" x14ac:dyDescent="0.4">
      <c r="B12" t="s">
        <v>0</v>
      </c>
      <c r="C12" s="5">
        <v>2065</v>
      </c>
      <c r="D12" s="6" t="s">
        <v>4</v>
      </c>
      <c r="E12" t="s">
        <v>60</v>
      </c>
      <c r="F12" s="2" t="s">
        <v>69</v>
      </c>
    </row>
    <row r="13" spans="1:6" x14ac:dyDescent="0.4">
      <c r="B13" t="s">
        <v>7</v>
      </c>
      <c r="C13" s="5">
        <v>448</v>
      </c>
      <c r="D13" s="6" t="s">
        <v>4</v>
      </c>
      <c r="E13" t="s">
        <v>14</v>
      </c>
      <c r="F13" s="2" t="s">
        <v>70</v>
      </c>
    </row>
    <row r="14" spans="1:6" x14ac:dyDescent="0.4">
      <c r="B14" t="s">
        <v>8</v>
      </c>
      <c r="C14" s="5">
        <f>25*12</f>
        <v>300</v>
      </c>
      <c r="D14" s="6" t="s">
        <v>4</v>
      </c>
      <c r="E14" t="s">
        <v>14</v>
      </c>
      <c r="F14" s="2" t="s">
        <v>71</v>
      </c>
    </row>
    <row r="15" spans="1:6" x14ac:dyDescent="0.4">
      <c r="B15" t="s">
        <v>26</v>
      </c>
      <c r="C15" s="5">
        <v>2100</v>
      </c>
      <c r="D15" s="6" t="s">
        <v>4</v>
      </c>
      <c r="E15" t="s">
        <v>14</v>
      </c>
      <c r="F15" s="2" t="s">
        <v>72</v>
      </c>
    </row>
    <row r="16" spans="1:6" x14ac:dyDescent="0.4">
      <c r="B16" t="s">
        <v>9</v>
      </c>
      <c r="C16" s="5">
        <v>1800</v>
      </c>
      <c r="D16" s="6" t="s">
        <v>4</v>
      </c>
      <c r="E16" t="s">
        <v>14</v>
      </c>
    </row>
    <row r="17" spans="2:6" x14ac:dyDescent="0.4">
      <c r="B17" t="s">
        <v>50</v>
      </c>
      <c r="C17" s="5">
        <v>500</v>
      </c>
      <c r="D17" s="6" t="s">
        <v>4</v>
      </c>
      <c r="E17" t="s">
        <v>51</v>
      </c>
    </row>
    <row r="18" spans="2:6" x14ac:dyDescent="0.4">
      <c r="B18" t="s">
        <v>33</v>
      </c>
      <c r="C18" s="5">
        <f>25*12</f>
        <v>300</v>
      </c>
      <c r="D18" s="6" t="s">
        <v>4</v>
      </c>
      <c r="E18" t="s">
        <v>14</v>
      </c>
      <c r="F18" s="2" t="s">
        <v>71</v>
      </c>
    </row>
    <row r="20" spans="2:6" x14ac:dyDescent="0.4">
      <c r="B20" s="35" t="s">
        <v>61</v>
      </c>
      <c r="C20" s="35"/>
      <c r="D20" s="35"/>
      <c r="E20" s="35"/>
      <c r="F20" s="35"/>
    </row>
  </sheetData>
  <mergeCells count="1">
    <mergeCell ref="B20:F20"/>
  </mergeCells>
  <hyperlinks>
    <hyperlink ref="F3" r:id="rId1" xr:uid="{EB035C3E-E3C7-4BFA-9965-6A39294BFD5D}"/>
    <hyperlink ref="F8" r:id="rId2" xr:uid="{55BE770B-0134-4AB3-AFCD-1244AB61539A}"/>
    <hyperlink ref="F5" r:id="rId3" xr:uid="{E01A7713-C0EC-4757-828F-F89D3EC9C1F0}"/>
    <hyperlink ref="F6" r:id="rId4" location="class-1-national-insurance-rates" display="https://www.gov.uk/guidance/rates-and-thresholds-for-employers-2023-to-2024 - class-1-national-insurance-rates" xr:uid="{995F04A2-BAB7-4367-9CDE-713136575C97}"/>
    <hyperlink ref="F7" r:id="rId5" location="class-1-national-insurance-rates" display="https://www.gov.uk/guidance/rates-and-thresholds-for-employers-2023-to-2024 - class-1-national-insurance-rates" xr:uid="{B1CB672D-6651-406D-845D-855AFB738BE2}"/>
    <hyperlink ref="F9" r:id="rId6" display="https://www.ons.gov.uk/peoplepopulationandcommunity/housing/bulletins/privaterentalmarketsummarystatisticsinengland/april2022tomarch2023" xr:uid="{0CC27DAA-BD1F-4DBE-8CAA-876BFBCAA008}"/>
    <hyperlink ref="F12" r:id="rId7" location=":~:text=parish%20level%20data.-,1.,social%20care%20and%20parish%20precepts." display="https://www.gov.uk/government/statistics/council-tax-levels-set-by-local-authorities-in-england-2023-to-2024/council-tax-levels-set-by-local-authorities-in-england-2023-to-2024 - :~:text=parish%20level%20data.-,1.,social%20care%20and%20parish%20precepts." xr:uid="{A05AF87D-51D0-47DB-90DD-9ABFA366DBA2}"/>
    <hyperlink ref="F13" r:id="rId8" location=":~:text=How%20much%20is%20the%20average,water%20use%20across%20the%20UK." display="https://lookaftermybills.com/water/what-is-the-average-water-bill-in-the-uk/ - :~:text=How%20much%20is%20the%20average,water%20use%20across%20the%20UK." xr:uid="{24501009-9691-4A5C-9312-D74B2310DAE9}"/>
    <hyperlink ref="F15" r:id="rId9" display="https://www.edfenergy.com/energywise/what-is-the-average-energy-bill-in-the-uk" xr:uid="{B6215FFB-F3F9-44AA-98D5-933C376B7281}"/>
    <hyperlink ref="F18" r:id="rId10" display="https://www.aquaswitch.co.uk/blog/average-broadband-cost/" xr:uid="{7A9792CE-7716-4B85-B581-3FE65E5C3BE0}"/>
    <hyperlink ref="F14" r:id="rId11" display="https://www.aquaswitch.co.uk/blog/average-broadband-cost/" xr:uid="{17C09F9C-D653-4220-A26B-BDB2FF55EBE0}"/>
    <hyperlink ref="F11" r:id="rId12" display="https://www.unbiased.co.uk/discover/mortgages-property/ownership-improvements/how-much-is-home-insurance-on-average-and-what-does-it-cover" xr:uid="{45414067-76CF-48FC-A71C-14591BAA86F7}"/>
    <hyperlink ref="F4" r:id="rId13" display="https://www.ons.gov.uk/peoplepopulationandcommunity/housing/bulletins/privaterentalmarketsummarystatisticsinengland/april2022tomarch2023" xr:uid="{DC3F5880-9045-4E0B-AAA9-0D4C35A538DF}"/>
  </hyperlinks>
  <pageMargins left="0.7" right="0.7" top="0.75" bottom="0.75" header="0.3" footer="0.3"/>
  <pageSetup paperSize="9" orientation="portrait" r:id="rId14"/>
  <tableParts count="1">
    <tablePart r:id="rId1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Default 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Wilson</dc:creator>
  <cp:lastModifiedBy>Lisa Lowe</cp:lastModifiedBy>
  <cp:lastPrinted>2021-05-12T15:34:17Z</cp:lastPrinted>
  <dcterms:created xsi:type="dcterms:W3CDTF">2021-05-05T08:19:31Z</dcterms:created>
  <dcterms:modified xsi:type="dcterms:W3CDTF">2023-11-02T09:31:08Z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