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M:\Ministry\Forms Policies Guidelines and Documents\WEBSITE\Shared Website\"/>
    </mc:Choice>
  </mc:AlternateContent>
  <xr:revisionPtr revIDLastSave="0" documentId="8_{F24CD465-7BCE-4708-8C49-8D51BE010C1A}" xr6:coauthVersionLast="47" xr6:coauthVersionMax="47" xr10:uidLastSave="{00000000-0000-0000-0000-000000000000}"/>
  <bookViews>
    <workbookView xWindow="28680" yWindow="-120" windowWidth="29040" windowHeight="15720" xr2:uid="{63D4E363-CC1F-453B-AD92-91111022AB26}"/>
  </bookViews>
  <sheets>
    <sheet name="Calculator" sheetId="1" r:id="rId1"/>
    <sheet name="Default Assump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 l="1"/>
  <c r="G32" i="1"/>
  <c r="C13" i="2"/>
  <c r="C10" i="2"/>
  <c r="C12" i="2"/>
  <c r="C11" i="2"/>
  <c r="C17" i="2" l="1"/>
  <c r="C16" i="2"/>
  <c r="D25" i="1"/>
  <c r="C9" i="2"/>
  <c r="D24" i="1" s="1"/>
  <c r="C4" i="2"/>
  <c r="C15" i="2" l="1"/>
  <c r="D34" i="1" l="1"/>
  <c r="D33" i="1"/>
  <c r="D32" i="1"/>
  <c r="D29" i="1"/>
  <c r="D28" i="1"/>
  <c r="D27" i="1"/>
  <c r="D26" i="1"/>
  <c r="D19" i="1"/>
  <c r="D18" i="1"/>
  <c r="H34" i="1" l="1"/>
  <c r="G33" i="1"/>
  <c r="H33" i="1" s="1"/>
  <c r="G29" i="1"/>
  <c r="H29" i="1" s="1"/>
  <c r="G28" i="1"/>
  <c r="H28" i="1" s="1"/>
  <c r="G27" i="1"/>
  <c r="H27" i="1" s="1"/>
  <c r="G26" i="1"/>
  <c r="H26" i="1" s="1"/>
  <c r="G25" i="1"/>
  <c r="H25" i="1" s="1"/>
  <c r="G24" i="1"/>
  <c r="H24" i="1" s="1"/>
  <c r="G19" i="1"/>
  <c r="G18" i="1"/>
  <c r="D20" i="1" l="1"/>
  <c r="G20" i="1" s="1"/>
  <c r="H20" i="1" s="1"/>
  <c r="H19" i="1"/>
  <c r="G21" i="1"/>
  <c r="H21" i="1" s="1"/>
  <c r="H18" i="1"/>
  <c r="G30" i="1"/>
  <c r="H30" i="1"/>
  <c r="G35" i="1"/>
  <c r="H32" i="1"/>
  <c r="H35" i="1" s="1"/>
  <c r="H22" i="1" l="1"/>
  <c r="H37" i="1" s="1"/>
  <c r="G22" i="1"/>
  <c r="G37" i="1" s="1"/>
</calcChain>
</file>

<file path=xl/sharedStrings.xml><?xml version="1.0" encoding="utf-8"?>
<sst xmlns="http://schemas.openxmlformats.org/spreadsheetml/2006/main" count="118" uniqueCount="75">
  <si>
    <r>
      <t xml:space="preserve">Inputs - complete all </t>
    </r>
    <r>
      <rPr>
        <b/>
        <sz val="11"/>
        <color rgb="FFFFC000"/>
        <rFont val="Tahoma"/>
        <family val="2"/>
      </rPr>
      <t>orange cells</t>
    </r>
  </si>
  <si>
    <t>Is Your Minister Full Time?</t>
  </si>
  <si>
    <t>Yes</t>
  </si>
  <si>
    <t>If Part Time, what percentage of full time hours</t>
  </si>
  <si>
    <t>How is Housing provided?</t>
  </si>
  <si>
    <t>Manse</t>
  </si>
  <si>
    <t>If Manse, does church cover energy bills?</t>
  </si>
  <si>
    <t>Is the church eligible for the Employment Allowance?</t>
  </si>
  <si>
    <t>Check eligibility at</t>
  </si>
  <si>
    <t>https://www.gov.uk/claim-employment-allowance</t>
  </si>
  <si>
    <t>Cost Estimates</t>
  </si>
  <si>
    <t>Default assumption</t>
  </si>
  <si>
    <t>Use default assumption?</t>
  </si>
  <si>
    <t>Custom Assumption</t>
  </si>
  <si>
    <t>Per year</t>
  </si>
  <si>
    <t>Per month</t>
  </si>
  <si>
    <t>Payroll Costs</t>
  </si>
  <si>
    <t>Stipend</t>
  </si>
  <si>
    <t>Housing Allowance</t>
  </si>
  <si>
    <t>Employers Pension</t>
  </si>
  <si>
    <t>National Insurance</t>
  </si>
  <si>
    <t>Total Payroll Costs</t>
  </si>
  <si>
    <t>Manse Costs</t>
  </si>
  <si>
    <t>Maintenance</t>
  </si>
  <si>
    <t>Buildings Insurance</t>
  </si>
  <si>
    <t>Council Tax</t>
  </si>
  <si>
    <t>Water bill</t>
  </si>
  <si>
    <t>Phone and broadband</t>
  </si>
  <si>
    <t>Energy bills</t>
  </si>
  <si>
    <t>Total Manse Costs</t>
  </si>
  <si>
    <t>Other Costs</t>
  </si>
  <si>
    <t>Minister's expenses (travel etc)</t>
  </si>
  <si>
    <t>Continuing Ministerial Development and training</t>
  </si>
  <si>
    <t>Mobile Phone</t>
  </si>
  <si>
    <t>Total Other Costs</t>
  </si>
  <si>
    <t>Total Costs</t>
  </si>
  <si>
    <t>Assumptions</t>
  </si>
  <si>
    <t>Cost Item</t>
  </si>
  <si>
    <t>Default Assumption</t>
  </si>
  <si>
    <t>Overwrite possible?</t>
  </si>
  <si>
    <t>Basis of default</t>
  </si>
  <si>
    <t>Source</t>
  </si>
  <si>
    <t>Y</t>
  </si>
  <si>
    <t>www.baptist.org.uk/financialguidance</t>
  </si>
  <si>
    <t>Estimate of total housing costs</t>
  </si>
  <si>
    <t>Private rental market summary statistics in England - Office for National Statistics (ons.gov.uk)</t>
  </si>
  <si>
    <t>Employers' pension contributions</t>
  </si>
  <si>
    <t>Ministers Section of Baptist Pension Scheme</t>
  </si>
  <si>
    <t>https://www.baptistpensions.org.uk/churches-employers/how-the-scheme-works/how-much-does-it-cost/</t>
  </si>
  <si>
    <t>Employers National Insurance Rate</t>
  </si>
  <si>
    <t>N</t>
  </si>
  <si>
    <t>National Insurance Secondary Threshold</t>
  </si>
  <si>
    <t>Manse Value</t>
  </si>
  <si>
    <t>Manse maintenance</t>
  </si>
  <si>
    <t>Estimated UK average</t>
  </si>
  <si>
    <t>Home contents and buildings insurance | unbiased.co.uk</t>
  </si>
  <si>
    <t>UK average band D Council Tax</t>
  </si>
  <si>
    <t>Energy Bills</t>
  </si>
  <si>
    <t>Minister's expenses</t>
  </si>
  <si>
    <t>Baptists Together recommendation</t>
  </si>
  <si>
    <t>Please note that these assumptions are not editable.  Should you wish to use different assumptions in your calculation, please select "N" under "Use Default Assumption?" in the Calculator, and enter your own figure under "Custom assumption".</t>
  </si>
  <si>
    <t>UK tax rates for 2025/26</t>
  </si>
  <si>
    <r>
      <t xml:space="preserve">Housing Allowance </t>
    </r>
    <r>
      <rPr>
        <sz val="11"/>
        <color rgb="FFFF0000"/>
        <rFont val="Tahoma"/>
        <family val="2"/>
      </rPr>
      <t>**</t>
    </r>
  </si>
  <si>
    <t>**</t>
  </si>
  <si>
    <t>just the default assumption amount.</t>
  </si>
  <si>
    <t>If housing allowance is paid to the minister the amount used should equate to the rental cost of a suitable house in your area - and not</t>
  </si>
  <si>
    <t>Cost of Ministry Calculator 2026</t>
  </si>
  <si>
    <t>Baptist Together Standard Stipend for 2026</t>
  </si>
  <si>
    <t>Rates and thresholds for employers 2025 to 2026 - GOV.UK</t>
  </si>
  <si>
    <t>Council Tax levels set by local authorities in England 2025 to 2026 (revised) - GOV.UK</t>
  </si>
  <si>
    <t>DiscoverWater (en-GB)</t>
  </si>
  <si>
    <t>What is the average broadband bill in the UK? | usave.co.uk</t>
  </si>
  <si>
    <t>Average Gas and Electricity Bills in the UK - 2025</t>
  </si>
  <si>
    <t>UK Mobile Phone Statistics 2025 - Stats Report - Uswitch</t>
  </si>
  <si>
    <t>Baptist Pension Scheme Manse Value for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</si>
</sst>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1" x14ac:knownFonts="1">
    <font>
      <sz val="11"/>
      <color theme="1"/>
      <name val="Aptos Narrow"/>
      <family val="2"/>
      <scheme val="minor"/>
    </font>
    <font>
      <sz val="11"/>
      <color rgb="FF3F3F76"/>
      <name val="Aptos Narrow"/>
      <family val="2"/>
      <scheme val="minor"/>
    </font>
    <font>
      <b/>
      <sz val="11"/>
      <color theme="1"/>
      <name val="Aptos Narrow"/>
      <family val="2"/>
      <scheme val="minor"/>
    </font>
    <font>
      <u/>
      <sz val="11"/>
      <color theme="10"/>
      <name val="Aptos Narrow"/>
      <family val="2"/>
      <scheme val="minor"/>
    </font>
    <font>
      <sz val="11"/>
      <color theme="1"/>
      <name val="Tahoma"/>
      <family val="2"/>
    </font>
    <font>
      <b/>
      <sz val="24"/>
      <color theme="1"/>
      <name val="Tahoma"/>
      <family val="2"/>
    </font>
    <font>
      <b/>
      <sz val="11"/>
      <color theme="1"/>
      <name val="Tahoma"/>
      <family val="2"/>
    </font>
    <font>
      <b/>
      <sz val="11"/>
      <color rgb="FFFFC000"/>
      <name val="Tahoma"/>
      <family val="2"/>
    </font>
    <font>
      <u/>
      <sz val="11"/>
      <color theme="1"/>
      <name val="Tahoma"/>
      <family val="2"/>
    </font>
    <font>
      <b/>
      <sz val="11"/>
      <name val="Aptos Narrow"/>
      <family val="2"/>
      <scheme val="minor"/>
    </font>
    <font>
      <sz val="11"/>
      <color rgb="FFFF0000"/>
      <name val="Tahoma"/>
      <family val="2"/>
    </font>
  </fonts>
  <fills count="7">
    <fill>
      <patternFill patternType="none"/>
    </fill>
    <fill>
      <patternFill patternType="gray125"/>
    </fill>
    <fill>
      <patternFill patternType="solid">
        <fgColor rgb="FFFFCC99"/>
      </patternFill>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auto="1"/>
        <bgColor theme="0"/>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3">
    <xf numFmtId="0" fontId="0" fillId="0" borderId="0"/>
    <xf numFmtId="0" fontId="1" fillId="2" borderId="1" applyNumberFormat="0" applyAlignment="0" applyProtection="0"/>
    <xf numFmtId="0" fontId="3" fillId="0" borderId="0" applyNumberFormat="0" applyFill="0" applyBorder="0" applyAlignment="0" applyProtection="0"/>
  </cellStyleXfs>
  <cellXfs count="40">
    <xf numFmtId="0" fontId="0" fillId="0" borderId="0" xfId="0"/>
    <xf numFmtId="0" fontId="4" fillId="0" borderId="2" xfId="0" applyFont="1" applyBorder="1"/>
    <xf numFmtId="0" fontId="4" fillId="0" borderId="3" xfId="0" applyFont="1" applyBorder="1"/>
    <xf numFmtId="0" fontId="4" fillId="0" borderId="4" xfId="0" applyFont="1" applyBorder="1"/>
    <xf numFmtId="0" fontId="4" fillId="0" borderId="0" xfId="0" applyFont="1"/>
    <xf numFmtId="0" fontId="4" fillId="0" borderId="5" xfId="0" applyFont="1" applyBorder="1"/>
    <xf numFmtId="0" fontId="5" fillId="0" borderId="0" xfId="0" applyFont="1"/>
    <xf numFmtId="0" fontId="4" fillId="0" borderId="6" xfId="0" applyFont="1" applyBorder="1"/>
    <xf numFmtId="0" fontId="6" fillId="0" borderId="0" xfId="0" applyFont="1"/>
    <xf numFmtId="0" fontId="4" fillId="3" borderId="0" xfId="1" applyFont="1" applyFill="1" applyBorder="1" applyAlignment="1" applyProtection="1">
      <alignment horizontal="center"/>
      <protection locked="0"/>
    </xf>
    <xf numFmtId="9" fontId="4" fillId="2" borderId="0" xfId="1" applyNumberFormat="1" applyFont="1" applyBorder="1" applyAlignment="1" applyProtection="1">
      <alignment horizontal="center"/>
      <protection locked="0"/>
    </xf>
    <xf numFmtId="9" fontId="4" fillId="3" borderId="0" xfId="1" applyNumberFormat="1" applyFont="1" applyFill="1" applyBorder="1" applyAlignment="1" applyProtection="1">
      <alignment horizontal="center"/>
      <protection locked="0"/>
    </xf>
    <xf numFmtId="0" fontId="4" fillId="0" borderId="0" xfId="0" applyFont="1" applyAlignment="1">
      <alignment horizontal="center"/>
    </xf>
    <xf numFmtId="0" fontId="4" fillId="0" borderId="5" xfId="0" applyFont="1" applyBorder="1" applyAlignment="1">
      <alignment wrapText="1"/>
    </xf>
    <xf numFmtId="0" fontId="4" fillId="0" borderId="0" xfId="0" applyFont="1" applyAlignment="1">
      <alignment wrapText="1"/>
    </xf>
    <xf numFmtId="0" fontId="6" fillId="0" borderId="0" xfId="0" applyFont="1" applyAlignment="1">
      <alignment horizontal="center" wrapText="1"/>
    </xf>
    <xf numFmtId="0" fontId="4" fillId="0" borderId="6" xfId="0" applyFont="1" applyBorder="1" applyAlignment="1">
      <alignment wrapText="1"/>
    </xf>
    <xf numFmtId="164" fontId="4" fillId="0" borderId="0" xfId="0" applyNumberFormat="1" applyFont="1"/>
    <xf numFmtId="164" fontId="4" fillId="2" borderId="0" xfId="1" applyNumberFormat="1" applyFont="1" applyBorder="1" applyProtection="1">
      <protection locked="0"/>
    </xf>
    <xf numFmtId="164" fontId="6" fillId="0" borderId="0" xfId="0" applyNumberFormat="1" applyFont="1"/>
    <xf numFmtId="0" fontId="6" fillId="0" borderId="0" xfId="0" applyFont="1" applyAlignment="1">
      <alignment horizontal="right"/>
    </xf>
    <xf numFmtId="0" fontId="4" fillId="0" borderId="0" xfId="0" applyFont="1" applyAlignment="1">
      <alignment horizontal="left"/>
    </xf>
    <xf numFmtId="0" fontId="4" fillId="0" borderId="7" xfId="0" applyFont="1" applyBorder="1"/>
    <xf numFmtId="0" fontId="4" fillId="0" borderId="8" xfId="0" applyFont="1" applyBorder="1"/>
    <xf numFmtId="0" fontId="4" fillId="0" borderId="9" xfId="0" applyFont="1" applyBorder="1"/>
    <xf numFmtId="0" fontId="2" fillId="0" borderId="0" xfId="0" applyFont="1"/>
    <xf numFmtId="0" fontId="0" fillId="0" borderId="0" xfId="0" applyAlignment="1">
      <alignment wrapText="1"/>
    </xf>
    <xf numFmtId="0" fontId="9" fillId="4" borderId="10" xfId="0" applyFont="1" applyFill="1" applyBorder="1" applyAlignment="1">
      <alignment vertical="top" wrapText="1"/>
    </xf>
    <xf numFmtId="0" fontId="0" fillId="5" borderId="11" xfId="0" applyFill="1" applyBorder="1"/>
    <xf numFmtId="0" fontId="0" fillId="5" borderId="11" xfId="0" applyFill="1" applyBorder="1" applyAlignment="1">
      <alignment horizontal="center"/>
    </xf>
    <xf numFmtId="0" fontId="3" fillId="5" borderId="11" xfId="2" applyFill="1" applyBorder="1"/>
    <xf numFmtId="0" fontId="0" fillId="5" borderId="11" xfId="0" applyFill="1" applyBorder="1" applyAlignment="1">
      <alignment wrapText="1"/>
    </xf>
    <xf numFmtId="0" fontId="0" fillId="5" borderId="12" xfId="0" applyFill="1" applyBorder="1"/>
    <xf numFmtId="0" fontId="0" fillId="5" borderId="12" xfId="0" applyFill="1" applyBorder="1" applyAlignment="1">
      <alignment horizontal="center"/>
    </xf>
    <xf numFmtId="164" fontId="0" fillId="5" borderId="11" xfId="0" applyNumberFormat="1" applyFill="1" applyBorder="1"/>
    <xf numFmtId="9" fontId="0" fillId="6" borderId="11" xfId="0" applyNumberFormat="1" applyFill="1" applyBorder="1"/>
    <xf numFmtId="0" fontId="10" fillId="0" borderId="0" xfId="0" applyFont="1" applyAlignment="1">
      <alignment horizontal="right"/>
    </xf>
    <xf numFmtId="0" fontId="3" fillId="0" borderId="0" xfId="2"/>
    <xf numFmtId="0" fontId="8" fillId="0" borderId="0" xfId="2" applyFont="1" applyBorder="1" applyAlignment="1" applyProtection="1">
      <alignment horizontal="left"/>
    </xf>
    <xf numFmtId="0" fontId="0" fillId="0" borderId="0" xfId="0" applyAlignment="1">
      <alignment horizontal="left"/>
    </xf>
  </cellXfs>
  <cellStyles count="3">
    <cellStyle name="Hyperlink" xfId="2" builtinId="8"/>
    <cellStyle name="Input" xfId="1" builtinId="20"/>
    <cellStyle name="Normal" xfId="0" builtinId="0"/>
  </cellStyles>
  <dxfs count="17">
    <dxf>
      <font>
        <color theme="6"/>
      </font>
      <fill>
        <patternFill>
          <bgColor theme="6"/>
        </patternFill>
      </fill>
    </dxf>
    <dxf>
      <font>
        <color theme="6"/>
      </font>
      <fill>
        <patternFill>
          <bgColor theme="6"/>
        </patternFill>
      </fill>
    </dxf>
    <dxf>
      <font>
        <color theme="6"/>
      </font>
      <fill>
        <patternFill>
          <bgColor theme="6"/>
        </patternFill>
      </fill>
    </dxf>
    <dxf>
      <font>
        <color theme="6"/>
      </font>
      <fill>
        <patternFill>
          <bgColor theme="6"/>
        </patternFill>
      </fill>
    </dxf>
    <dxf>
      <font>
        <color theme="6"/>
      </font>
      <fill>
        <patternFill>
          <bgColor theme="6"/>
        </patternFill>
      </fill>
    </dxf>
    <dxf>
      <font>
        <color theme="6"/>
      </font>
      <fill>
        <patternFill>
          <bgColor theme="6"/>
        </patternFill>
      </fill>
    </dxf>
    <dxf>
      <font>
        <color theme="6"/>
      </font>
      <fill>
        <patternFill>
          <bgColor theme="6"/>
        </patternFill>
      </fill>
    </dxf>
    <dxf>
      <fill>
        <patternFill patternType="none">
          <fgColor indexed="64"/>
          <bgColor theme="0"/>
        </patternFill>
      </fill>
      <border diagonalUp="0" diagonalDown="0">
        <left/>
        <right/>
        <top style="thin">
          <color auto="1"/>
        </top>
        <bottom style="thin">
          <color auto="1"/>
        </bottom>
        <vertical/>
        <horizontal style="thin">
          <color auto="1"/>
        </horizontal>
      </border>
    </dxf>
    <dxf>
      <fill>
        <patternFill patternType="none">
          <fgColor indexed="64"/>
          <bgColor theme="0"/>
        </patternFill>
      </fill>
      <border diagonalUp="0" diagonalDown="0">
        <left/>
        <right/>
        <top style="thin">
          <color auto="1"/>
        </top>
        <bottom style="thin">
          <color auto="1"/>
        </bottom>
        <vertical/>
        <horizontal style="thin">
          <color auto="1"/>
        </horizontal>
      </border>
    </dxf>
    <dxf>
      <fill>
        <patternFill patternType="none">
          <fgColor indexed="64"/>
          <bgColor theme="0"/>
        </patternFill>
      </fill>
      <alignment horizontal="center" vertical="bottom" textRotation="0" wrapText="0" indent="0" justifyLastLine="0" shrinkToFit="0" readingOrder="0"/>
      <border diagonalUp="0" diagonalDown="0">
        <left/>
        <right/>
        <top style="thin">
          <color auto="1"/>
        </top>
        <bottom style="thin">
          <color auto="1"/>
        </bottom>
        <vertical/>
        <horizontal style="thin">
          <color auto="1"/>
        </horizontal>
      </border>
    </dxf>
    <dxf>
      <numFmt numFmtId="164" formatCode="&quot;£&quot;#,##0"/>
      <fill>
        <patternFill patternType="solid">
          <fgColor theme="0"/>
          <bgColor auto="1"/>
        </patternFill>
      </fill>
      <border diagonalUp="0" diagonalDown="0">
        <left/>
        <right/>
        <top style="thin">
          <color auto="1"/>
        </top>
        <bottom style="thin">
          <color auto="1"/>
        </bottom>
        <vertical/>
        <horizontal style="thin">
          <color auto="1"/>
        </horizontal>
      </border>
    </dxf>
    <dxf>
      <fill>
        <patternFill patternType="none">
          <fgColor indexed="64"/>
          <bgColor theme="0"/>
        </patternFill>
      </fill>
      <border diagonalUp="0" diagonalDown="0">
        <left/>
        <right/>
        <top style="thin">
          <color auto="1"/>
        </top>
        <bottom style="thin">
          <color auto="1"/>
        </bottom>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fill>
        <patternFill patternType="none">
          <fgColor indexed="64"/>
          <bgColor theme="0"/>
        </patternFill>
      </fill>
    </dxf>
    <dxf>
      <border>
        <bottom style="thin">
          <color auto="1"/>
        </bottom>
      </border>
    </dxf>
    <dxf>
      <font>
        <b/>
        <i val="0"/>
        <strike val="0"/>
        <condense val="0"/>
        <extend val="0"/>
        <outline val="0"/>
        <shadow val="0"/>
        <u val="none"/>
        <vertAlign val="baseline"/>
        <sz val="11"/>
        <color auto="1"/>
        <name val="Aptos Narrow"/>
        <family val="2"/>
        <scheme val="minor"/>
      </font>
      <fill>
        <patternFill patternType="solid">
          <fgColor indexed="64"/>
          <bgColor theme="0" tint="-0.14999847407452621"/>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569595</xdr:colOff>
      <xdr:row>0</xdr:row>
      <xdr:rowOff>19050</xdr:rowOff>
    </xdr:from>
    <xdr:to>
      <xdr:col>8</xdr:col>
      <xdr:colOff>112395</xdr:colOff>
      <xdr:row>4</xdr:row>
      <xdr:rowOff>84140</xdr:rowOff>
    </xdr:to>
    <xdr:pic>
      <xdr:nvPicPr>
        <xdr:cNvPr id="2" name="Picture 1" descr="BT logo 1-Colour-cmyk">
          <a:extLst>
            <a:ext uri="{FF2B5EF4-FFF2-40B4-BE49-F238E27FC236}">
              <a16:creationId xmlns:a16="http://schemas.microsoft.com/office/drawing/2014/main" id="{06AD7CE6-64B7-44AF-9E6B-7D52982E7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70445" y="19050"/>
          <a:ext cx="1695450" cy="788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497923-847D-40DF-A104-8514F266086A}" name="Table1" displayName="Table1" ref="B2:F17" totalsRowShown="0" headerRowDxfId="16" dataDxfId="14" headerRowBorderDxfId="15" tableBorderDxfId="13" totalsRowBorderDxfId="12">
  <autoFilter ref="B2:F17" xr:uid="{E4497923-847D-40DF-A104-8514F266086A}"/>
  <tableColumns count="5">
    <tableColumn id="1" xr3:uid="{51C58AA5-6603-41D2-943A-18B0E1DD11D7}" name="Cost Item" dataDxfId="11"/>
    <tableColumn id="2" xr3:uid="{A400D9AA-0ACD-465D-98A8-2B1443E44030}" name="Default Assumption" dataDxfId="10"/>
    <tableColumn id="3" xr3:uid="{2CD9997C-05A2-4F9B-ABF6-07D3CBF2A67F}" name="Overwrite possible?" dataDxfId="9"/>
    <tableColumn id="4" xr3:uid="{5563455C-55E6-4768-83C9-DAF7E5C42E89}" name="Basis of default" dataDxfId="8"/>
    <tableColumn id="5" xr3:uid="{EE2D1878-CD57-4AA7-B490-88162A728CF5}" name="Source" dataDxfId="7" dataCellStyle="Hyperlink"/>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ov.uk/claim-employment-allowanc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save.co.uk/broadband/guides/average-broadband-bills/" TargetMode="External"/><Relationship Id="rId3" Type="http://schemas.openxmlformats.org/officeDocument/2006/relationships/hyperlink" Target="https://www.baptistpensions.org.uk/churches-employers/how-the-scheme-works/how-much-does-it-cost/" TargetMode="External"/><Relationship Id="rId7" Type="http://schemas.openxmlformats.org/officeDocument/2006/relationships/hyperlink" Target="https://www.discoverwater.co.uk/annual-bill" TargetMode="External"/><Relationship Id="rId2" Type="http://schemas.openxmlformats.org/officeDocument/2006/relationships/hyperlink" Target="http://www.baptist.org.uk/financialguidance" TargetMode="External"/><Relationship Id="rId1" Type="http://schemas.openxmlformats.org/officeDocument/2006/relationships/hyperlink" Target="http://www.baptist.org.uk/financialguidance" TargetMode="External"/><Relationship Id="rId6" Type="http://schemas.openxmlformats.org/officeDocument/2006/relationships/hyperlink" Target="https://www.gov.uk/government/statistics/council-tax-levels-set-by-local-authorities-in-england-2025-to-2026/council-tax-levels-set-by-local-authorities-in-england-2025-to-2026" TargetMode="External"/><Relationship Id="rId11" Type="http://schemas.openxmlformats.org/officeDocument/2006/relationships/table" Target="../tables/table1.xml"/><Relationship Id="rId5" Type="http://schemas.openxmlformats.org/officeDocument/2006/relationships/hyperlink" Target="https://www.ons.gov.uk/peoplepopulationandcommunity/housing/bulletins/privaterentalmarketsummarystatisticsinengland/april2022tomarch2023" TargetMode="External"/><Relationship Id="rId10" Type="http://schemas.openxmlformats.org/officeDocument/2006/relationships/hyperlink" Target="https://www.uswitch.com/mobiles/studies/mobile-statistics/?msockid=1b0e342e156664381ce7206014ad65f9" TargetMode="External"/><Relationship Id="rId4" Type="http://schemas.openxmlformats.org/officeDocument/2006/relationships/hyperlink" Target="https://www.unbiased.co.uk/discover/mortgages-property/ownership-improvements/how-much-is-home-insurance-on-average-and-what-does-it-cover" TargetMode="External"/><Relationship Id="rId9" Type="http://schemas.openxmlformats.org/officeDocument/2006/relationships/hyperlink" Target="https://www.moneysupermarket.com/gas-and-electricity/average-energy-bills-uk/?msockid=1b0e342e156664381ce7206014ad65f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55C1-C835-4141-9BD9-6ABBE710C9B5}">
  <sheetPr>
    <pageSetUpPr fitToPage="1"/>
  </sheetPr>
  <dimension ref="A1:I41"/>
  <sheetViews>
    <sheetView tabSelected="1" topLeftCell="A8" workbookViewId="0">
      <selection activeCell="G20" sqref="G20"/>
    </sheetView>
  </sheetViews>
  <sheetFormatPr defaultColWidth="8.81640625" defaultRowHeight="14" x14ac:dyDescent="0.3"/>
  <cols>
    <col min="1" max="1" width="2.26953125" style="4" customWidth="1"/>
    <col min="2" max="2" width="4.26953125" style="4" customWidth="1"/>
    <col min="3" max="3" width="47" style="4" customWidth="1"/>
    <col min="4" max="8" width="16.1796875" style="4" customWidth="1"/>
    <col min="9" max="9" width="2.26953125" style="4" customWidth="1"/>
    <col min="10" max="16384" width="8.81640625" style="4"/>
  </cols>
  <sheetData>
    <row r="1" spans="1:9" x14ac:dyDescent="0.3">
      <c r="A1" s="1"/>
      <c r="B1" s="2"/>
      <c r="C1" s="2"/>
      <c r="D1" s="2"/>
      <c r="E1" s="2"/>
      <c r="F1" s="2"/>
      <c r="G1" s="2"/>
      <c r="H1" s="2"/>
      <c r="I1" s="3"/>
    </row>
    <row r="2" spans="1:9" x14ac:dyDescent="0.3">
      <c r="A2" s="5"/>
      <c r="I2" s="7"/>
    </row>
    <row r="3" spans="1:9" x14ac:dyDescent="0.3">
      <c r="A3" s="5"/>
      <c r="I3" s="7"/>
    </row>
    <row r="4" spans="1:9" x14ac:dyDescent="0.3">
      <c r="A4" s="5"/>
      <c r="I4" s="7"/>
    </row>
    <row r="5" spans="1:9" x14ac:dyDescent="0.3">
      <c r="A5" s="5"/>
      <c r="I5" s="7"/>
    </row>
    <row r="6" spans="1:9" ht="29.5" x14ac:dyDescent="0.55000000000000004">
      <c r="A6" s="5"/>
      <c r="B6" s="6" t="s">
        <v>66</v>
      </c>
      <c r="H6"/>
      <c r="I6" s="7"/>
    </row>
    <row r="7" spans="1:9" x14ac:dyDescent="0.3">
      <c r="A7" s="5"/>
      <c r="I7" s="7"/>
    </row>
    <row r="8" spans="1:9" x14ac:dyDescent="0.3">
      <c r="A8" s="5"/>
      <c r="B8" s="8" t="s">
        <v>0</v>
      </c>
      <c r="I8" s="7"/>
    </row>
    <row r="9" spans="1:9" x14ac:dyDescent="0.3">
      <c r="A9" s="5"/>
      <c r="C9" s="4" t="s">
        <v>1</v>
      </c>
      <c r="D9" s="9" t="s">
        <v>2</v>
      </c>
      <c r="I9" s="7"/>
    </row>
    <row r="10" spans="1:9" x14ac:dyDescent="0.3">
      <c r="A10" s="5"/>
      <c r="C10" s="4" t="s">
        <v>3</v>
      </c>
      <c r="D10" s="10">
        <v>0.5</v>
      </c>
      <c r="I10" s="7"/>
    </row>
    <row r="11" spans="1:9" x14ac:dyDescent="0.3">
      <c r="A11" s="5"/>
      <c r="C11" s="4" t="s">
        <v>4</v>
      </c>
      <c r="D11" s="9" t="s">
        <v>5</v>
      </c>
      <c r="I11" s="7"/>
    </row>
    <row r="12" spans="1:9" x14ac:dyDescent="0.3">
      <c r="A12" s="5"/>
      <c r="C12" s="4" t="s">
        <v>6</v>
      </c>
      <c r="D12" s="11" t="s">
        <v>2</v>
      </c>
      <c r="I12" s="7"/>
    </row>
    <row r="13" spans="1:9" x14ac:dyDescent="0.3">
      <c r="A13" s="5"/>
      <c r="C13" s="4" t="s">
        <v>7</v>
      </c>
      <c r="D13" s="9" t="s">
        <v>2</v>
      </c>
      <c r="E13" s="12" t="s">
        <v>8</v>
      </c>
      <c r="F13" s="38" t="s">
        <v>9</v>
      </c>
      <c r="G13" s="38"/>
      <c r="H13" s="38"/>
      <c r="I13" s="7"/>
    </row>
    <row r="14" spans="1:9" x14ac:dyDescent="0.3">
      <c r="A14" s="5"/>
      <c r="D14" s="12"/>
      <c r="I14" s="7"/>
    </row>
    <row r="15" spans="1:9" x14ac:dyDescent="0.3">
      <c r="A15" s="5"/>
      <c r="B15" s="8" t="s">
        <v>10</v>
      </c>
      <c r="I15" s="7"/>
    </row>
    <row r="16" spans="1:9" s="14" customFormat="1" ht="28" x14ac:dyDescent="0.3">
      <c r="A16" s="13"/>
      <c r="D16" s="15" t="s">
        <v>11</v>
      </c>
      <c r="E16" s="15" t="s">
        <v>12</v>
      </c>
      <c r="F16" s="15" t="s">
        <v>13</v>
      </c>
      <c r="G16" s="15" t="s">
        <v>14</v>
      </c>
      <c r="H16" s="15" t="s">
        <v>15</v>
      </c>
      <c r="I16" s="16"/>
    </row>
    <row r="17" spans="1:9" x14ac:dyDescent="0.3">
      <c r="A17" s="5"/>
      <c r="C17" s="8" t="s">
        <v>16</v>
      </c>
      <c r="D17" s="12"/>
      <c r="I17" s="7"/>
    </row>
    <row r="18" spans="1:9" x14ac:dyDescent="0.3">
      <c r="A18" s="5"/>
      <c r="C18" s="4" t="s">
        <v>17</v>
      </c>
      <c r="D18" s="17">
        <f>IF(D9="Yes",'Default Assumptions'!C3,D10*'Default Assumptions'!C3)</f>
        <v>30405</v>
      </c>
      <c r="E18" s="9" t="s">
        <v>2</v>
      </c>
      <c r="F18" s="18">
        <v>29575</v>
      </c>
      <c r="G18" s="17">
        <f>IF(E18="Yes",D18,F18)</f>
        <v>30405</v>
      </c>
      <c r="H18" s="17">
        <f>G18/12</f>
        <v>2533.75</v>
      </c>
      <c r="I18" s="7"/>
    </row>
    <row r="19" spans="1:9" x14ac:dyDescent="0.3">
      <c r="A19" s="5"/>
      <c r="C19" s="4" t="s">
        <v>62</v>
      </c>
      <c r="D19" s="17">
        <f>IF(D11="Manse",0,IF(D9="Yes",'Default Assumptions'!C4,'Default Assumptions'!C4*D10))</f>
        <v>0</v>
      </c>
      <c r="E19" s="9" t="s">
        <v>2</v>
      </c>
      <c r="F19" s="18">
        <v>23400</v>
      </c>
      <c r="G19" s="17">
        <f>IF(E19="Yes",D19,F19)</f>
        <v>0</v>
      </c>
      <c r="H19" s="17">
        <f>G19/12</f>
        <v>0</v>
      </c>
      <c r="I19" s="7"/>
    </row>
    <row r="20" spans="1:9" x14ac:dyDescent="0.3">
      <c r="A20" s="5"/>
      <c r="C20" s="4" t="s">
        <v>19</v>
      </c>
      <c r="D20" s="17">
        <f>MAX(IF(D9="Yes",1,D10)*('Default Assumptions'!C3+'Default Assumptions'!C8),IF(D9="Yes",1,D10)*IF(D11="Manse",(G18+'Default Assumptions'!C8),(G18+G19)))*'Default Assumptions'!C5</f>
        <v>3844</v>
      </c>
      <c r="E20" s="9" t="s">
        <v>2</v>
      </c>
      <c r="F20" s="18">
        <v>3732</v>
      </c>
      <c r="G20" s="17">
        <f>IF(E20="Yes",D20,F20)</f>
        <v>3844</v>
      </c>
      <c r="H20" s="17">
        <f>G20/12</f>
        <v>320.33333333333331</v>
      </c>
      <c r="I20" s="7"/>
    </row>
    <row r="21" spans="1:9" x14ac:dyDescent="0.3">
      <c r="A21" s="5"/>
      <c r="C21" s="4" t="s">
        <v>20</v>
      </c>
      <c r="E21" s="12"/>
      <c r="G21" s="17">
        <f>IF(D13="Yes",MAX(0,((G18+G19-'Default Assumptions'!C7)*'Default Assumptions'!C6-10000)),(G18+G19-'Default Assumptions'!C7)*'Default Assumptions'!C6)</f>
        <v>0</v>
      </c>
      <c r="H21" s="17">
        <f>G21/12</f>
        <v>0</v>
      </c>
      <c r="I21" s="7"/>
    </row>
    <row r="22" spans="1:9" x14ac:dyDescent="0.3">
      <c r="A22" s="5"/>
      <c r="D22" s="19"/>
      <c r="F22" s="20" t="s">
        <v>21</v>
      </c>
      <c r="G22" s="19">
        <f>SUM(G18:G21)</f>
        <v>34249</v>
      </c>
      <c r="H22" s="19">
        <f>SUM(H18:H21)</f>
        <v>2854.0833333333335</v>
      </c>
      <c r="I22" s="7"/>
    </row>
    <row r="23" spans="1:9" x14ac:dyDescent="0.3">
      <c r="A23" s="5"/>
      <c r="C23" s="8" t="s">
        <v>22</v>
      </c>
      <c r="I23" s="7"/>
    </row>
    <row r="24" spans="1:9" x14ac:dyDescent="0.3">
      <c r="A24" s="5"/>
      <c r="C24" s="4" t="s">
        <v>23</v>
      </c>
      <c r="D24" s="17">
        <f>IF(D11="Manse",'Default Assumptions'!C9,0)</f>
        <v>2115</v>
      </c>
      <c r="E24" s="9" t="s">
        <v>2</v>
      </c>
      <c r="F24" s="18">
        <v>2035</v>
      </c>
      <c r="G24" s="17">
        <f>IF(D11="Manse",IF(E24="Yes",D24,F24),0)</f>
        <v>2115</v>
      </c>
      <c r="H24" s="17">
        <f t="shared" ref="H24:H29" si="0">G24/12</f>
        <v>176.25</v>
      </c>
      <c r="I24" s="7"/>
    </row>
    <row r="25" spans="1:9" x14ac:dyDescent="0.3">
      <c r="A25" s="5"/>
      <c r="C25" s="4" t="s">
        <v>24</v>
      </c>
      <c r="D25" s="17">
        <f>IF(D11="Manse",'Default Assumptions'!C10,0)</f>
        <v>255</v>
      </c>
      <c r="E25" s="9" t="s">
        <v>2</v>
      </c>
      <c r="F25" s="18">
        <v>305</v>
      </c>
      <c r="G25" s="17">
        <f>IF(D11="Manse",IF(E25="Yes",D25,F25),0)</f>
        <v>255</v>
      </c>
      <c r="H25" s="17">
        <f t="shared" si="0"/>
        <v>21.25</v>
      </c>
      <c r="I25" s="7"/>
    </row>
    <row r="26" spans="1:9" x14ac:dyDescent="0.3">
      <c r="A26" s="5"/>
      <c r="C26" s="4" t="s">
        <v>25</v>
      </c>
      <c r="D26" s="17">
        <f>IF(D11="Manse",'Default Assumptions'!C11,0)</f>
        <v>2370</v>
      </c>
      <c r="E26" s="9" t="s">
        <v>2</v>
      </c>
      <c r="F26" s="18">
        <v>2100</v>
      </c>
      <c r="G26" s="17">
        <f>IF(D11="Manse",IF(E26="Yes",D26,F26),0)</f>
        <v>2370</v>
      </c>
      <c r="H26" s="17">
        <f t="shared" si="0"/>
        <v>197.5</v>
      </c>
      <c r="I26" s="7"/>
    </row>
    <row r="27" spans="1:9" x14ac:dyDescent="0.3">
      <c r="A27" s="5"/>
      <c r="C27" s="4" t="s">
        <v>26</v>
      </c>
      <c r="D27" s="17">
        <f>IF(D11="Manse",'Default Assumptions'!C12,0)</f>
        <v>630</v>
      </c>
      <c r="E27" s="9" t="s">
        <v>2</v>
      </c>
      <c r="F27" s="18">
        <v>40</v>
      </c>
      <c r="G27" s="17">
        <f>IF(D11="Manse",IF(E27="Yes",D27,F27),0)</f>
        <v>630</v>
      </c>
      <c r="H27" s="17">
        <f t="shared" si="0"/>
        <v>52.5</v>
      </c>
      <c r="I27" s="7"/>
    </row>
    <row r="28" spans="1:9" x14ac:dyDescent="0.3">
      <c r="A28" s="5"/>
      <c r="C28" s="4" t="s">
        <v>27</v>
      </c>
      <c r="D28" s="17">
        <f>IF(D11="Manse",'Default Assumptions'!C13,0)</f>
        <v>480</v>
      </c>
      <c r="E28" s="9" t="s">
        <v>2</v>
      </c>
      <c r="F28" s="18">
        <v>305</v>
      </c>
      <c r="G28" s="17">
        <f>IF(D11="Manse",IF(E28="Yes",D28,F28),0)</f>
        <v>480</v>
      </c>
      <c r="H28" s="17">
        <f t="shared" si="0"/>
        <v>40</v>
      </c>
      <c r="I28" s="7"/>
    </row>
    <row r="29" spans="1:9" x14ac:dyDescent="0.3">
      <c r="A29" s="5"/>
      <c r="C29" s="4" t="s">
        <v>28</v>
      </c>
      <c r="D29" s="17">
        <f>IF(AND(D11="Manse",D12="Yes"),'Default Assumptions'!C14,0)</f>
        <v>1755</v>
      </c>
      <c r="E29" s="9" t="s">
        <v>2</v>
      </c>
      <c r="F29" s="18">
        <v>2140</v>
      </c>
      <c r="G29" s="17">
        <f>IF(D11="Manse",IF(E29="Yes",D29,F29),0)</f>
        <v>1755</v>
      </c>
      <c r="H29" s="17">
        <f t="shared" si="0"/>
        <v>146.25</v>
      </c>
      <c r="I29" s="7"/>
    </row>
    <row r="30" spans="1:9" x14ac:dyDescent="0.3">
      <c r="A30" s="5"/>
      <c r="D30" s="19"/>
      <c r="F30" s="20" t="s">
        <v>29</v>
      </c>
      <c r="G30" s="19">
        <f>SUM(G24:G29)</f>
        <v>7605</v>
      </c>
      <c r="H30" s="19">
        <f>SUM(H24:H29)</f>
        <v>633.75</v>
      </c>
      <c r="I30" s="7"/>
    </row>
    <row r="31" spans="1:9" x14ac:dyDescent="0.3">
      <c r="A31" s="5"/>
      <c r="C31" s="8" t="s">
        <v>30</v>
      </c>
      <c r="I31" s="7"/>
    </row>
    <row r="32" spans="1:9" x14ac:dyDescent="0.3">
      <c r="A32" s="5"/>
      <c r="C32" s="4" t="s">
        <v>31</v>
      </c>
      <c r="D32" s="17">
        <f>'Default Assumptions'!C15</f>
        <v>1910</v>
      </c>
      <c r="E32" s="9" t="s">
        <v>2</v>
      </c>
      <c r="F32" s="18">
        <v>1840</v>
      </c>
      <c r="G32" s="17">
        <f>IF($E$32="Yes",IF($D$9="No",D32*$D$10,D32),F32)</f>
        <v>1910</v>
      </c>
      <c r="H32" s="17">
        <f>G32/12</f>
        <v>159.16666666666666</v>
      </c>
      <c r="I32" s="7"/>
    </row>
    <row r="33" spans="1:9" x14ac:dyDescent="0.3">
      <c r="A33" s="5"/>
      <c r="C33" s="4" t="s">
        <v>32</v>
      </c>
      <c r="D33" s="17">
        <f>'Default Assumptions'!C16</f>
        <v>530</v>
      </c>
      <c r="E33" s="9" t="s">
        <v>2</v>
      </c>
      <c r="F33" s="18">
        <v>510</v>
      </c>
      <c r="G33" s="17">
        <f>IF(E33="Yes",D33,F33)</f>
        <v>530</v>
      </c>
      <c r="H33" s="17">
        <f>G33/12</f>
        <v>44.166666666666664</v>
      </c>
      <c r="I33" s="7"/>
    </row>
    <row r="34" spans="1:9" x14ac:dyDescent="0.3">
      <c r="A34" s="5"/>
      <c r="C34" s="4" t="s">
        <v>33</v>
      </c>
      <c r="D34" s="17">
        <f>'Default Assumptions'!C17</f>
        <v>320</v>
      </c>
      <c r="E34" s="9" t="s">
        <v>2</v>
      </c>
      <c r="F34" s="18">
        <v>305</v>
      </c>
      <c r="G34" s="17">
        <f>IF($E$34="Yes",IF($D$9="No",D34*$D$10,D34),F34)</f>
        <v>320</v>
      </c>
      <c r="H34" s="17">
        <f>G34/12</f>
        <v>26.666666666666668</v>
      </c>
      <c r="I34" s="7"/>
    </row>
    <row r="35" spans="1:9" x14ac:dyDescent="0.3">
      <c r="A35" s="5"/>
      <c r="F35" s="20" t="s">
        <v>34</v>
      </c>
      <c r="G35" s="19">
        <f>SUM(G32:G34)</f>
        <v>2760</v>
      </c>
      <c r="H35" s="19">
        <f>SUM(H32:H34)</f>
        <v>229.99999999999997</v>
      </c>
      <c r="I35" s="7"/>
    </row>
    <row r="36" spans="1:9" x14ac:dyDescent="0.3">
      <c r="A36" s="5"/>
      <c r="F36" s="21"/>
      <c r="I36" s="7"/>
    </row>
    <row r="37" spans="1:9" x14ac:dyDescent="0.3">
      <c r="A37" s="5"/>
      <c r="F37" s="20" t="s">
        <v>35</v>
      </c>
      <c r="G37" s="19">
        <f>SUM(G35,G30,G22)</f>
        <v>44614</v>
      </c>
      <c r="H37" s="19">
        <f>SUM(H35,H30,H22)</f>
        <v>3717.8333333333335</v>
      </c>
      <c r="I37" s="7"/>
    </row>
    <row r="38" spans="1:9" x14ac:dyDescent="0.3">
      <c r="A38" s="5"/>
      <c r="F38" s="20"/>
      <c r="G38" s="19"/>
      <c r="H38" s="19"/>
      <c r="I38" s="7"/>
    </row>
    <row r="39" spans="1:9" x14ac:dyDescent="0.3">
      <c r="A39" s="5"/>
      <c r="B39" s="36" t="s">
        <v>63</v>
      </c>
      <c r="C39" s="4" t="s">
        <v>65</v>
      </c>
      <c r="F39" s="20"/>
      <c r="G39" s="19"/>
      <c r="H39" s="19"/>
      <c r="I39" s="7"/>
    </row>
    <row r="40" spans="1:9" x14ac:dyDescent="0.3">
      <c r="A40" s="5"/>
      <c r="C40" s="4" t="s">
        <v>64</v>
      </c>
      <c r="F40" s="20"/>
      <c r="G40" s="19"/>
      <c r="H40" s="19"/>
      <c r="I40" s="7"/>
    </row>
    <row r="41" spans="1:9" ht="14.5" thickBot="1" x14ac:dyDescent="0.35">
      <c r="A41" s="22"/>
      <c r="B41" s="23"/>
      <c r="C41" s="23"/>
      <c r="D41" s="23"/>
      <c r="E41" s="23"/>
      <c r="F41" s="23"/>
      <c r="G41" s="23"/>
      <c r="H41" s="23"/>
      <c r="I41" s="24"/>
    </row>
  </sheetData>
  <sheetProtection algorithmName="SHA-512" hashValue="mzEfZdZD3gWvt4FGFdoX1pJEnk5k/EAzF39JROHU4Oeg6ahW1c96Y85ok/MOlC3W9Uu+QiBaaq71Z5l1anF0mw==" saltValue="VKchZeY9DLi0kFdkvDgJFA==" spinCount="100000" sheet="1" objects="1" scenarios="1"/>
  <mergeCells count="1">
    <mergeCell ref="F13:H13"/>
  </mergeCells>
  <conditionalFormatting sqref="D10">
    <cfRule type="expression" dxfId="6" priority="11">
      <formula>$D$9="Yes"</formula>
    </cfRule>
  </conditionalFormatting>
  <conditionalFormatting sqref="D12 D24:F29">
    <cfRule type="expression" dxfId="5" priority="10">
      <formula>$D$11&lt;&gt;"Manse"</formula>
    </cfRule>
  </conditionalFormatting>
  <conditionalFormatting sqref="D24:D25">
    <cfRule type="expression" dxfId="4" priority="1">
      <formula>#REF!="Owned"</formula>
    </cfRule>
  </conditionalFormatting>
  <conditionalFormatting sqref="D24:F25">
    <cfRule type="expression" dxfId="3" priority="4">
      <formula>#REF!="Leased"</formula>
    </cfRule>
  </conditionalFormatting>
  <conditionalFormatting sqref="D29:F29">
    <cfRule type="expression" dxfId="2" priority="7">
      <formula>$D$12="No"</formula>
    </cfRule>
  </conditionalFormatting>
  <conditionalFormatting sqref="F18:F20 F24:F29">
    <cfRule type="expression" dxfId="1" priority="9">
      <formula>$E18&lt;&gt;"No"</formula>
    </cfRule>
  </conditionalFormatting>
  <conditionalFormatting sqref="F32:F34">
    <cfRule type="expression" dxfId="0" priority="6">
      <formula>$E32&lt;&gt;"No"</formula>
    </cfRule>
  </conditionalFormatting>
  <dataValidations count="2">
    <dataValidation type="list" allowBlank="1" showInputMessage="1" showErrorMessage="1" sqref="D11" xr:uid="{F8273C02-54F3-46D2-B45F-9C637BC7546E}">
      <formula1>"Manse,Housing Allowance"</formula1>
    </dataValidation>
    <dataValidation type="list" allowBlank="1" showInputMessage="1" showErrorMessage="1" sqref="D9 D12:D13 E18:E20 E32:E34 E24:E29" xr:uid="{65DDA9EB-DAEC-48AD-8889-E606F6570134}">
      <formula1>"Yes,No"</formula1>
    </dataValidation>
  </dataValidations>
  <hyperlinks>
    <hyperlink ref="F13" r:id="rId1" xr:uid="{AA81C66F-00A1-4A58-8628-C438B5913D85}"/>
  </hyperlinks>
  <printOptions horizontalCentered="1"/>
  <pageMargins left="0.70866141732283472" right="0.70866141732283472" top="0.74803149606299213" bottom="0.74803149606299213" header="0.31496062992125984" footer="0.31496062992125984"/>
  <pageSetup paperSize="9" scale="8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C6E19-CF81-4CF1-931F-AF4C2923131F}">
  <dimension ref="A1:F19"/>
  <sheetViews>
    <sheetView zoomScale="124" zoomScaleNormal="124" workbookViewId="0">
      <selection activeCell="F11" sqref="F11"/>
    </sheetView>
  </sheetViews>
  <sheetFormatPr defaultRowHeight="14.5" x14ac:dyDescent="0.35"/>
  <cols>
    <col min="1" max="1" width="3.453125" customWidth="1"/>
    <col min="2" max="2" width="43.1796875" bestFit="1" customWidth="1"/>
    <col min="3" max="3" width="12.81640625" bestFit="1" customWidth="1"/>
    <col min="4" max="4" width="11.453125" customWidth="1"/>
    <col min="5" max="5" width="41.26953125" bestFit="1" customWidth="1"/>
    <col min="6" max="6" width="97.81640625" customWidth="1"/>
  </cols>
  <sheetData>
    <row r="1" spans="1:6" x14ac:dyDescent="0.35">
      <c r="A1" s="25" t="s">
        <v>36</v>
      </c>
    </row>
    <row r="2" spans="1:6" s="26" customFormat="1" ht="29" x14ac:dyDescent="0.35">
      <c r="B2" s="27" t="s">
        <v>37</v>
      </c>
      <c r="C2" s="27" t="s">
        <v>38</v>
      </c>
      <c r="D2" s="27" t="s">
        <v>39</v>
      </c>
      <c r="E2" s="27" t="s">
        <v>40</v>
      </c>
      <c r="F2" s="27" t="s">
        <v>41</v>
      </c>
    </row>
    <row r="3" spans="1:6" x14ac:dyDescent="0.35">
      <c r="B3" s="28" t="s">
        <v>17</v>
      </c>
      <c r="C3" s="34">
        <v>30405</v>
      </c>
      <c r="D3" s="29" t="s">
        <v>42</v>
      </c>
      <c r="E3" s="28" t="s">
        <v>67</v>
      </c>
      <c r="F3" s="30" t="s">
        <v>43</v>
      </c>
    </row>
    <row r="4" spans="1:6" x14ac:dyDescent="0.35">
      <c r="B4" s="28" t="s">
        <v>18</v>
      </c>
      <c r="C4" s="34">
        <f>ROUND(23400*1.038,0)+1</f>
        <v>24290</v>
      </c>
      <c r="D4" s="29" t="s">
        <v>42</v>
      </c>
      <c r="E4" s="28" t="s">
        <v>44</v>
      </c>
      <c r="F4" s="30" t="s">
        <v>45</v>
      </c>
    </row>
    <row r="5" spans="1:6" x14ac:dyDescent="0.35">
      <c r="B5" s="28" t="s">
        <v>46</v>
      </c>
      <c r="C5" s="35">
        <v>0.1</v>
      </c>
      <c r="D5" s="29" t="s">
        <v>42</v>
      </c>
      <c r="E5" s="28" t="s">
        <v>47</v>
      </c>
      <c r="F5" s="30" t="s">
        <v>48</v>
      </c>
    </row>
    <row r="6" spans="1:6" x14ac:dyDescent="0.35">
      <c r="B6" s="28" t="s">
        <v>49</v>
      </c>
      <c r="C6" s="35">
        <v>0.15</v>
      </c>
      <c r="D6" s="29" t="s">
        <v>50</v>
      </c>
      <c r="E6" s="28" t="s">
        <v>61</v>
      </c>
      <c r="F6" s="30" t="s">
        <v>68</v>
      </c>
    </row>
    <row r="7" spans="1:6" x14ac:dyDescent="0.35">
      <c r="B7" s="28" t="s">
        <v>51</v>
      </c>
      <c r="C7" s="34">
        <v>5000</v>
      </c>
      <c r="D7" s="29" t="s">
        <v>50</v>
      </c>
      <c r="E7" s="28" t="s">
        <v>61</v>
      </c>
      <c r="F7" s="30" t="s">
        <v>68</v>
      </c>
    </row>
    <row r="8" spans="1:6" ht="15" customHeight="1" x14ac:dyDescent="0.35">
      <c r="B8" s="28" t="s">
        <v>52</v>
      </c>
      <c r="C8" s="34">
        <v>8035</v>
      </c>
      <c r="D8" s="29" t="s">
        <v>50</v>
      </c>
      <c r="E8" s="31" t="s">
        <v>74</v>
      </c>
      <c r="F8" s="30" t="s">
        <v>43</v>
      </c>
    </row>
    <row r="9" spans="1:6" x14ac:dyDescent="0.35">
      <c r="B9" s="28" t="s">
        <v>53</v>
      </c>
      <c r="C9" s="34">
        <f>ROUND(2035*1.038,0)+3</f>
        <v>2115</v>
      </c>
      <c r="D9" s="29" t="s">
        <v>42</v>
      </c>
      <c r="E9" s="28" t="s">
        <v>54</v>
      </c>
      <c r="F9" s="28"/>
    </row>
    <row r="10" spans="1:6" x14ac:dyDescent="0.35">
      <c r="B10" s="28" t="s">
        <v>24</v>
      </c>
      <c r="C10" s="34">
        <f>ROUND(242*1.038,0)+4</f>
        <v>255</v>
      </c>
      <c r="D10" s="29" t="s">
        <v>42</v>
      </c>
      <c r="E10" s="28" t="s">
        <v>54</v>
      </c>
      <c r="F10" s="30" t="s">
        <v>55</v>
      </c>
    </row>
    <row r="11" spans="1:6" x14ac:dyDescent="0.35">
      <c r="B11" s="28" t="s">
        <v>25</v>
      </c>
      <c r="C11" s="34">
        <f>ROUND(2280*1.038,0)+3</f>
        <v>2370</v>
      </c>
      <c r="D11" s="29" t="s">
        <v>42</v>
      </c>
      <c r="E11" s="28" t="s">
        <v>56</v>
      </c>
      <c r="F11" s="37" t="s">
        <v>69</v>
      </c>
    </row>
    <row r="12" spans="1:6" x14ac:dyDescent="0.35">
      <c r="B12" s="28" t="s">
        <v>26</v>
      </c>
      <c r="C12" s="34">
        <f>ROUND(603*1.038,0)+4</f>
        <v>630</v>
      </c>
      <c r="D12" s="29" t="s">
        <v>42</v>
      </c>
      <c r="E12" s="28" t="s">
        <v>54</v>
      </c>
      <c r="F12" s="37" t="s">
        <v>70</v>
      </c>
    </row>
    <row r="13" spans="1:6" x14ac:dyDescent="0.35">
      <c r="B13" s="28" t="s">
        <v>27</v>
      </c>
      <c r="C13" s="34">
        <f>39.75*12+3</f>
        <v>480</v>
      </c>
      <c r="D13" s="29" t="s">
        <v>42</v>
      </c>
      <c r="E13" s="28" t="s">
        <v>54</v>
      </c>
      <c r="F13" s="37" t="s">
        <v>71</v>
      </c>
    </row>
    <row r="14" spans="1:6" x14ac:dyDescent="0.35">
      <c r="B14" s="28" t="s">
        <v>57</v>
      </c>
      <c r="C14" s="34">
        <v>1755</v>
      </c>
      <c r="D14" s="29" t="s">
        <v>42</v>
      </c>
      <c r="E14" s="28" t="s">
        <v>54</v>
      </c>
      <c r="F14" s="37" t="s">
        <v>72</v>
      </c>
    </row>
    <row r="15" spans="1:6" x14ac:dyDescent="0.35">
      <c r="B15" s="28" t="s">
        <v>58</v>
      </c>
      <c r="C15" s="34">
        <f>ROUND(1840*1.038,0)</f>
        <v>1910</v>
      </c>
      <c r="D15" s="29" t="s">
        <v>42</v>
      </c>
      <c r="E15" s="28" t="s">
        <v>54</v>
      </c>
      <c r="F15" s="28"/>
    </row>
    <row r="16" spans="1:6" x14ac:dyDescent="0.35">
      <c r="B16" s="28" t="s">
        <v>32</v>
      </c>
      <c r="C16" s="34">
        <f>ROUND(510*1.038,0)+1</f>
        <v>530</v>
      </c>
      <c r="D16" s="29" t="s">
        <v>42</v>
      </c>
      <c r="E16" s="28" t="s">
        <v>59</v>
      </c>
      <c r="F16" s="28"/>
    </row>
    <row r="17" spans="2:6" x14ac:dyDescent="0.35">
      <c r="B17" s="32" t="s">
        <v>33</v>
      </c>
      <c r="C17" s="34">
        <f>ROUND(305*1.038,0)+3</f>
        <v>320</v>
      </c>
      <c r="D17" s="33" t="s">
        <v>42</v>
      </c>
      <c r="E17" s="32" t="s">
        <v>54</v>
      </c>
      <c r="F17" s="37" t="s">
        <v>73</v>
      </c>
    </row>
    <row r="19" spans="2:6" x14ac:dyDescent="0.35">
      <c r="B19" s="39" t="s">
        <v>60</v>
      </c>
      <c r="C19" s="39"/>
      <c r="D19" s="39"/>
      <c r="E19" s="39"/>
      <c r="F19" s="39"/>
    </row>
  </sheetData>
  <sheetProtection algorithmName="SHA-512" hashValue="xrQWbhpejR23qrvjkqmKlUXI/nW782sg4ncvGAmZMvqffq1bIe0i15jG0KIw86HIRRTUPiSfINmrShZTQ/fYVQ==" saltValue="rhD4pEt03Ml2SotvWiE6lA==" spinCount="100000" sheet="1" objects="1" scenarios="1"/>
  <mergeCells count="1">
    <mergeCell ref="B19:F19"/>
  </mergeCells>
  <hyperlinks>
    <hyperlink ref="F3" r:id="rId1" xr:uid="{A7793AA1-E648-49A0-9234-BD8302628E12}"/>
    <hyperlink ref="F8" r:id="rId2" xr:uid="{EE629962-EB55-4D0C-AE66-17EC7F896480}"/>
    <hyperlink ref="F5" r:id="rId3" xr:uid="{F076D77F-AA3A-4218-82AC-8907AE570293}"/>
    <hyperlink ref="F10" r:id="rId4" display="https://www.unbiased.co.uk/discover/mortgages-property/ownership-improvements/how-much-is-home-insurance-on-average-and-what-does-it-cover" xr:uid="{335A876A-5DC1-4427-A793-BDE22210CD42}"/>
    <hyperlink ref="F4" r:id="rId5" display="https://www.ons.gov.uk/peoplepopulationandcommunity/housing/bulletins/privaterentalmarketsummarystatisticsinengland/april2022tomarch2023" xr:uid="{0D2B79C0-C502-4567-B580-06D9A15D94D7}"/>
    <hyperlink ref="F11" r:id="rId6" location=":~:text=parish%20level%20data.-,1.,social%20care%20and%20parish%20precepts." display="https://www.gov.uk/government/statistics/council-tax-levels-set-by-local-authorities-in-england-2025-to-2026/council-tax-levels-set-by-local-authorities-in-england-2025-to-2026 - :~:text=parish%20level%20data.-,1.,social%20care%20and%20parish%20precepts." xr:uid="{CB6CBB2D-9936-422D-ACB6-45CE041FF687}"/>
    <hyperlink ref="F12" r:id="rId7" display="https://www.discoverwater.co.uk/annual-bill" xr:uid="{56995D95-6FA5-473D-B3D7-DADFDF5865DB}"/>
    <hyperlink ref="F13" r:id="rId8" display="https://usave.co.uk/broadband/guides/average-broadband-bills/" xr:uid="{49FCB5A3-7930-4CE6-839C-F31507BB00BB}"/>
    <hyperlink ref="F14" r:id="rId9" display="https://www.moneysupermarket.com/gas-and-electricity/average-energy-bills-uk/?msockid=1b0e342e156664381ce7206014ad65f9" xr:uid="{3BCAD72C-5890-4891-BE9B-10B08782A446}"/>
    <hyperlink ref="F17" r:id="rId10" display="https://www.uswitch.com/mobiles/studies/mobile-statistics/?msockid=1b0e342e156664381ce7206014ad65f9" xr:uid="{1FE6E6B5-2F6C-43D4-8D56-AEFC0ECF4F14}"/>
  </hyperlinks>
  <pageMargins left="0.7" right="0.7" top="0.75" bottom="0.75" header="0.3" footer="0.3"/>
  <tableParts count="1">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5D8546C640847B4AE0BD5461346A2" ma:contentTypeVersion="19" ma:contentTypeDescription="Create a new document." ma:contentTypeScope="" ma:versionID="6e17e787d928edf7eefb508c0334b5fa">
  <xsd:schema xmlns:xsd="http://www.w3.org/2001/XMLSchema" xmlns:xs="http://www.w3.org/2001/XMLSchema" xmlns:p="http://schemas.microsoft.com/office/2006/metadata/properties" xmlns:ns2="3ca47ac6-6a18-4f06-be40-b3200ed2520a" xmlns:ns3="bd2f9774-fea6-4991-a844-4915b7a2177b" targetNamespace="http://schemas.microsoft.com/office/2006/metadata/properties" ma:root="true" ma:fieldsID="004a15317603e191d846dd3b9a952d8a" ns2:_="" ns3:_="">
    <xsd:import namespace="3ca47ac6-6a18-4f06-be40-b3200ed2520a"/>
    <xsd:import namespace="bd2f9774-fea6-4991-a844-4915b7a2177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47ac6-6a18-4f06-be40-b3200ed252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782bff6-c124-446e-8a54-398a55c4b0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2f9774-fea6-4991-a844-4915b7a2177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e23e51-8d9c-42d6-9923-2f9a2de43f7f}" ma:internalName="TaxCatchAll" ma:showField="CatchAllData" ma:web="bd2f9774-fea6-4991-a844-4915b7a217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a47ac6-6a18-4f06-be40-b3200ed2520a">
      <Terms xmlns="http://schemas.microsoft.com/office/infopath/2007/PartnerControls"/>
    </lcf76f155ced4ddcb4097134ff3c332f>
    <TaxCatchAll xmlns="bd2f9774-fea6-4991-a844-4915b7a217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04208D-1CFD-4F5E-A47A-425A6D04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47ac6-6a18-4f06-be40-b3200ed2520a"/>
    <ds:schemaRef ds:uri="bd2f9774-fea6-4991-a844-4915b7a217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8B345F-AFA9-4E4E-9E13-BEE3DBB58305}">
  <ds:schemaRefs>
    <ds:schemaRef ds:uri="3ca47ac6-6a18-4f06-be40-b3200ed2520a"/>
    <ds:schemaRef ds:uri="bd2f9774-fea6-4991-a844-4915b7a2177b"/>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8D9313AA-945B-447A-98E4-9A4902BC2C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Default Assumptions</vt:lpstr>
    </vt:vector>
  </TitlesOfParts>
  <Company>RedRock Consulting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Nicci  Johnson</dc:creator>
  <cp:lastModifiedBy>Lisa Lowe</cp:lastModifiedBy>
  <cp:lastPrinted>2024-12-04T12:37:39Z</cp:lastPrinted>
  <dcterms:created xsi:type="dcterms:W3CDTF">2024-11-29T15:42:04Z</dcterms:created>
  <dcterms:modified xsi:type="dcterms:W3CDTF">2025-12-08T09:58:24Z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2057</vt:lpwstr>
  </property>
  <property fmtid="{D5CDD505-2E9C-101B-9397-08002B2CF9AE}" pid="3" name="MediaServiceImageTags">
    <vt:lpwstr/>
  </property>
  <property fmtid="{D5CDD505-2E9C-101B-9397-08002B2CF9AE}" pid="4" name="ContentTypeId">
    <vt:lpwstr>0x0101008F15D8546C640847B4AE0BD5461346A2</vt:lpwstr>
  </property>
</Properties>
</file>